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theme/themeOverride1.xml" ContentType="application/vnd.openxmlformats-officedocument.themeOverride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theme/themeOverride2.xml" ContentType="application/vnd.openxmlformats-officedocument.themeOverride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3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theme/themeOverride3.xml" ContentType="application/vnd.openxmlformats-officedocument.themeOverride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xr:revisionPtr revIDLastSave="0" documentId="13_ncr:1_{4FB12FAF-EE3D-4F91-9A71-9BDAD619299A}" xr6:coauthVersionLast="47" xr6:coauthVersionMax="47" xr10:uidLastSave="{00000000-0000-0000-0000-000000000000}"/>
  <bookViews>
    <workbookView xWindow="-108" yWindow="-108" windowWidth="30936" windowHeight="17040" tabRatio="712" xr2:uid="{51753381-7942-4523-BFB0-F20BE53F5F94}"/>
  </bookViews>
  <sheets>
    <sheet name="2023" sheetId="7" r:id="rId1"/>
    <sheet name="2021_kopija" sheetId="10" state="hidden" r:id="rId2"/>
    <sheet name="PODATKI grafi" sheetId="3" state="hidden" r:id="rId3"/>
  </sheets>
  <definedNames>
    <definedName name="_xlnm._FilterDatabase" localSheetId="1" hidden="1">'2021_kopija'!$H$53:$H$476</definedName>
    <definedName name="_xlnm._FilterDatabase" localSheetId="0" hidden="1">'2023'!$A$2:$A$425</definedName>
    <definedName name="_xlnm._FilterDatabase" localSheetId="2" hidden="1">'PODATKI grafi'!$I$52:$I$455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0" i="3" l="1"/>
  <c r="H435" i="10"/>
  <c r="H436" i="10" s="1"/>
  <c r="H437" i="10" s="1"/>
  <c r="H438" i="10" s="1"/>
  <c r="H439" i="10" s="1"/>
  <c r="H440" i="10" s="1"/>
  <c r="H441" i="10" s="1"/>
  <c r="H442" i="10" s="1"/>
  <c r="H443" i="10" s="1"/>
  <c r="H444" i="10" s="1"/>
  <c r="H445" i="10" s="1"/>
  <c r="H446" i="10" s="1"/>
  <c r="H447" i="10" s="1"/>
  <c r="H448" i="10" s="1"/>
  <c r="H449" i="10" s="1"/>
  <c r="H450" i="10" s="1"/>
  <c r="H451" i="10" s="1"/>
  <c r="H452" i="10" s="1"/>
  <c r="H453" i="10" s="1"/>
  <c r="H454" i="10" s="1"/>
  <c r="H455" i="10" s="1"/>
  <c r="J432" i="10"/>
  <c r="I432" i="10"/>
  <c r="J431" i="10"/>
  <c r="I431" i="10"/>
  <c r="J430" i="10"/>
  <c r="I430" i="10"/>
  <c r="J429" i="10"/>
  <c r="I429" i="10"/>
  <c r="J428" i="10"/>
  <c r="I428" i="10"/>
  <c r="J427" i="10"/>
  <c r="I427" i="10"/>
  <c r="J426" i="10"/>
  <c r="I426" i="10"/>
  <c r="J425" i="10"/>
  <c r="I425" i="10"/>
  <c r="I424" i="10"/>
  <c r="J423" i="10"/>
  <c r="I423" i="10"/>
  <c r="J422" i="10"/>
  <c r="I422" i="10"/>
  <c r="J421" i="10"/>
  <c r="I421" i="10"/>
  <c r="J420" i="10"/>
  <c r="I420" i="10"/>
  <c r="J419" i="10"/>
  <c r="I419" i="10"/>
  <c r="J418" i="10"/>
  <c r="I418" i="10"/>
  <c r="J417" i="10"/>
  <c r="I417" i="10"/>
  <c r="J416" i="10"/>
  <c r="I416" i="10"/>
  <c r="J415" i="10"/>
  <c r="I415" i="10"/>
  <c r="J414" i="10"/>
  <c r="I414" i="10"/>
  <c r="J413" i="10"/>
  <c r="I413" i="10"/>
  <c r="J412" i="10"/>
  <c r="I412" i="10"/>
  <c r="J411" i="10"/>
  <c r="I411" i="10"/>
  <c r="J410" i="10"/>
  <c r="I410" i="10"/>
  <c r="J409" i="10"/>
  <c r="I409" i="10"/>
  <c r="J408" i="10"/>
  <c r="I408" i="10"/>
  <c r="J407" i="10"/>
  <c r="I407" i="10"/>
  <c r="J406" i="10"/>
  <c r="I406" i="10"/>
  <c r="J405" i="10"/>
  <c r="I405" i="10"/>
  <c r="I404" i="10"/>
  <c r="AB399" i="10"/>
  <c r="AA399" i="10"/>
  <c r="Z399" i="10"/>
  <c r="Y399" i="10"/>
  <c r="X399" i="10"/>
  <c r="W399" i="10"/>
  <c r="L399" i="10"/>
  <c r="K398" i="10"/>
  <c r="H396" i="10"/>
  <c r="H397" i="10" s="1"/>
  <c r="H398" i="10" s="1"/>
  <c r="K397" i="10"/>
  <c r="J394" i="10"/>
  <c r="I394" i="10"/>
  <c r="J393" i="10"/>
  <c r="I393" i="10"/>
  <c r="J392" i="10"/>
  <c r="I392" i="10"/>
  <c r="J391" i="10"/>
  <c r="I391" i="10"/>
  <c r="J390" i="10"/>
  <c r="I390" i="10"/>
  <c r="J389" i="10"/>
  <c r="I389" i="10"/>
  <c r="J388" i="10"/>
  <c r="I388" i="10"/>
  <c r="J387" i="10"/>
  <c r="I387" i="10"/>
  <c r="I386" i="10"/>
  <c r="J385" i="10"/>
  <c r="I385" i="10"/>
  <c r="J384" i="10"/>
  <c r="I384" i="10"/>
  <c r="J383" i="10"/>
  <c r="I383" i="10"/>
  <c r="J382" i="10"/>
  <c r="I382" i="10"/>
  <c r="J381" i="10"/>
  <c r="I381" i="10"/>
  <c r="J380" i="10"/>
  <c r="I380" i="10"/>
  <c r="J379" i="10"/>
  <c r="I379" i="10"/>
  <c r="J378" i="10"/>
  <c r="I378" i="10"/>
  <c r="J377" i="10"/>
  <c r="I377" i="10"/>
  <c r="J376" i="10"/>
  <c r="I376" i="10"/>
  <c r="J375" i="10"/>
  <c r="I375" i="10"/>
  <c r="J374" i="10"/>
  <c r="I374" i="10"/>
  <c r="J373" i="10"/>
  <c r="I373" i="10"/>
  <c r="J372" i="10"/>
  <c r="I372" i="10"/>
  <c r="J371" i="10"/>
  <c r="I371" i="10"/>
  <c r="J370" i="10"/>
  <c r="I370" i="10"/>
  <c r="J369" i="10"/>
  <c r="I369" i="10"/>
  <c r="J368" i="10"/>
  <c r="I368" i="10"/>
  <c r="J367" i="10"/>
  <c r="I367" i="10"/>
  <c r="I366" i="10"/>
  <c r="AB361" i="10"/>
  <c r="AA361" i="10"/>
  <c r="Z361" i="10"/>
  <c r="Y361" i="10"/>
  <c r="X361" i="10"/>
  <c r="W361" i="10"/>
  <c r="L361" i="10"/>
  <c r="K360" i="10"/>
  <c r="H358" i="10"/>
  <c r="H359" i="10" s="1"/>
  <c r="H360" i="10" s="1"/>
  <c r="H361" i="10" s="1"/>
  <c r="H362" i="10" s="1"/>
  <c r="H363" i="10" s="1"/>
  <c r="H364" i="10" s="1"/>
  <c r="H365" i="10" s="1"/>
  <c r="H366" i="10" s="1"/>
  <c r="H367" i="10" s="1"/>
  <c r="H368" i="10" s="1"/>
  <c r="H369" i="10" s="1"/>
  <c r="H370" i="10" s="1"/>
  <c r="H371" i="10" s="1"/>
  <c r="H372" i="10" s="1"/>
  <c r="H373" i="10" s="1"/>
  <c r="H374" i="10" s="1"/>
  <c r="H375" i="10" s="1"/>
  <c r="H376" i="10" s="1"/>
  <c r="H377" i="10" s="1"/>
  <c r="H378" i="10" s="1"/>
  <c r="H379" i="10" s="1"/>
  <c r="H380" i="10" s="1"/>
  <c r="H381" i="10" s="1"/>
  <c r="H382" i="10" s="1"/>
  <c r="H383" i="10" s="1"/>
  <c r="H384" i="10" s="1"/>
  <c r="H385" i="10" s="1"/>
  <c r="H386" i="10" s="1"/>
  <c r="H387" i="10" s="1"/>
  <c r="H388" i="10" s="1"/>
  <c r="H389" i="10" s="1"/>
  <c r="H390" i="10" s="1"/>
  <c r="H391" i="10" s="1"/>
  <c r="H392" i="10" s="1"/>
  <c r="H393" i="10" s="1"/>
  <c r="H394" i="10" s="1"/>
  <c r="H395" i="10" s="1"/>
  <c r="K359" i="10"/>
  <c r="J356" i="10"/>
  <c r="I356" i="10"/>
  <c r="J355" i="10"/>
  <c r="I355" i="10"/>
  <c r="J354" i="10"/>
  <c r="I354" i="10"/>
  <c r="J353" i="10"/>
  <c r="I353" i="10"/>
  <c r="J352" i="10"/>
  <c r="I352" i="10"/>
  <c r="J351" i="10"/>
  <c r="I351" i="10"/>
  <c r="J350" i="10"/>
  <c r="I350" i="10"/>
  <c r="J349" i="10"/>
  <c r="I349" i="10"/>
  <c r="I348" i="10"/>
  <c r="J347" i="10"/>
  <c r="I347" i="10"/>
  <c r="J346" i="10"/>
  <c r="I346" i="10"/>
  <c r="J345" i="10"/>
  <c r="I345" i="10"/>
  <c r="J344" i="10"/>
  <c r="I344" i="10"/>
  <c r="J343" i="10"/>
  <c r="I343" i="10"/>
  <c r="J342" i="10"/>
  <c r="I342" i="10"/>
  <c r="J341" i="10"/>
  <c r="I341" i="10"/>
  <c r="J340" i="10"/>
  <c r="I340" i="10"/>
  <c r="J339" i="10"/>
  <c r="I339" i="10"/>
  <c r="J338" i="10"/>
  <c r="I338" i="10"/>
  <c r="J337" i="10"/>
  <c r="I337" i="10"/>
  <c r="J336" i="10"/>
  <c r="I336" i="10"/>
  <c r="J335" i="10"/>
  <c r="I335" i="10"/>
  <c r="J334" i="10"/>
  <c r="I334" i="10"/>
  <c r="J333" i="10"/>
  <c r="I333" i="10"/>
  <c r="J332" i="10"/>
  <c r="I332" i="10"/>
  <c r="J331" i="10"/>
  <c r="I331" i="10"/>
  <c r="J330" i="10"/>
  <c r="I330" i="10"/>
  <c r="J329" i="10"/>
  <c r="I329" i="10"/>
  <c r="I328" i="10"/>
  <c r="AA323" i="10"/>
  <c r="Z323" i="10"/>
  <c r="Y323" i="10"/>
  <c r="X323" i="10"/>
  <c r="W323" i="10"/>
  <c r="L323" i="10"/>
  <c r="K322" i="10"/>
  <c r="H320" i="10"/>
  <c r="H321" i="10" s="1"/>
  <c r="H322" i="10" s="1"/>
  <c r="H323" i="10" s="1"/>
  <c r="H324" i="10" s="1"/>
  <c r="H325" i="10" s="1"/>
  <c r="H326" i="10" s="1"/>
  <c r="H327" i="10" s="1"/>
  <c r="H328" i="10" s="1"/>
  <c r="H329" i="10" s="1"/>
  <c r="H330" i="10" s="1"/>
  <c r="H331" i="10" s="1"/>
  <c r="H332" i="10" s="1"/>
  <c r="H333" i="10" s="1"/>
  <c r="H334" i="10" s="1"/>
  <c r="H335" i="10" s="1"/>
  <c r="H336" i="10" s="1"/>
  <c r="H337" i="10" s="1"/>
  <c r="H338" i="10" s="1"/>
  <c r="H339" i="10" s="1"/>
  <c r="H340" i="10" s="1"/>
  <c r="H341" i="10" s="1"/>
  <c r="H342" i="10" s="1"/>
  <c r="H343" i="10" s="1"/>
  <c r="H344" i="10" s="1"/>
  <c r="H345" i="10" s="1"/>
  <c r="H346" i="10" s="1"/>
  <c r="H347" i="10" s="1"/>
  <c r="H348" i="10" s="1"/>
  <c r="H349" i="10" s="1"/>
  <c r="H350" i="10" s="1"/>
  <c r="H351" i="10" s="1"/>
  <c r="H352" i="10" s="1"/>
  <c r="H353" i="10" s="1"/>
  <c r="H354" i="10" s="1"/>
  <c r="H355" i="10" s="1"/>
  <c r="H356" i="10" s="1"/>
  <c r="H357" i="10" s="1"/>
  <c r="K321" i="10"/>
  <c r="J318" i="10"/>
  <c r="I318" i="10"/>
  <c r="J317" i="10"/>
  <c r="I317" i="10"/>
  <c r="J316" i="10"/>
  <c r="I316" i="10"/>
  <c r="J315" i="10"/>
  <c r="I315" i="10"/>
  <c r="J314" i="10"/>
  <c r="I314" i="10"/>
  <c r="J313" i="10"/>
  <c r="I313" i="10"/>
  <c r="J312" i="10"/>
  <c r="I312" i="10"/>
  <c r="J311" i="10"/>
  <c r="I311" i="10"/>
  <c r="I310" i="10"/>
  <c r="J309" i="10"/>
  <c r="I309" i="10"/>
  <c r="J308" i="10"/>
  <c r="I308" i="10"/>
  <c r="J307" i="10"/>
  <c r="I307" i="10"/>
  <c r="J306" i="10"/>
  <c r="I306" i="10"/>
  <c r="J305" i="10"/>
  <c r="I305" i="10"/>
  <c r="J304" i="10"/>
  <c r="I304" i="10"/>
  <c r="J303" i="10"/>
  <c r="I303" i="10"/>
  <c r="J302" i="10"/>
  <c r="I302" i="10"/>
  <c r="J301" i="10"/>
  <c r="I301" i="10"/>
  <c r="J300" i="10"/>
  <c r="I300" i="10"/>
  <c r="J299" i="10"/>
  <c r="I299" i="10"/>
  <c r="J298" i="10"/>
  <c r="I298" i="10"/>
  <c r="J297" i="10"/>
  <c r="I297" i="10"/>
  <c r="J296" i="10"/>
  <c r="I296" i="10"/>
  <c r="J295" i="10"/>
  <c r="I295" i="10"/>
  <c r="J294" i="10"/>
  <c r="I294" i="10"/>
  <c r="J293" i="10"/>
  <c r="I293" i="10"/>
  <c r="J292" i="10"/>
  <c r="I292" i="10"/>
  <c r="J291" i="10"/>
  <c r="I291" i="10"/>
  <c r="I290" i="10"/>
  <c r="AA285" i="10"/>
  <c r="Z285" i="10"/>
  <c r="Y285" i="10"/>
  <c r="X285" i="10"/>
  <c r="W285" i="10"/>
  <c r="L285" i="10"/>
  <c r="K284" i="10"/>
  <c r="H282" i="10"/>
  <c r="H283" i="10" s="1"/>
  <c r="H284" i="10" s="1"/>
  <c r="H285" i="10" s="1"/>
  <c r="H286" i="10" s="1"/>
  <c r="H287" i="10" s="1"/>
  <c r="H288" i="10" s="1"/>
  <c r="H289" i="10" s="1"/>
  <c r="H290" i="10" s="1"/>
  <c r="H291" i="10" s="1"/>
  <c r="H292" i="10" s="1"/>
  <c r="H293" i="10" s="1"/>
  <c r="H294" i="10" s="1"/>
  <c r="H295" i="10" s="1"/>
  <c r="H296" i="10" s="1"/>
  <c r="H297" i="10" s="1"/>
  <c r="H298" i="10" s="1"/>
  <c r="H299" i="10" s="1"/>
  <c r="H300" i="10" s="1"/>
  <c r="H301" i="10" s="1"/>
  <c r="H302" i="10" s="1"/>
  <c r="H303" i="10" s="1"/>
  <c r="H304" i="10" s="1"/>
  <c r="H305" i="10" s="1"/>
  <c r="H306" i="10" s="1"/>
  <c r="H307" i="10" s="1"/>
  <c r="H308" i="10" s="1"/>
  <c r="H309" i="10" s="1"/>
  <c r="H310" i="10" s="1"/>
  <c r="H311" i="10" s="1"/>
  <c r="H312" i="10" s="1"/>
  <c r="H313" i="10" s="1"/>
  <c r="H314" i="10" s="1"/>
  <c r="H315" i="10" s="1"/>
  <c r="H316" i="10" s="1"/>
  <c r="H317" i="10" s="1"/>
  <c r="H318" i="10" s="1"/>
  <c r="H319" i="10" s="1"/>
  <c r="K283" i="10"/>
  <c r="J280" i="10"/>
  <c r="I280" i="10"/>
  <c r="J279" i="10"/>
  <c r="I279" i="10"/>
  <c r="J278" i="10"/>
  <c r="I278" i="10"/>
  <c r="J277" i="10"/>
  <c r="I277" i="10"/>
  <c r="J276" i="10"/>
  <c r="I276" i="10"/>
  <c r="J275" i="10"/>
  <c r="I275" i="10"/>
  <c r="J274" i="10"/>
  <c r="I274" i="10"/>
  <c r="J273" i="10"/>
  <c r="I273" i="10"/>
  <c r="I272" i="10"/>
  <c r="J271" i="10"/>
  <c r="I271" i="10"/>
  <c r="J270" i="10"/>
  <c r="I270" i="10"/>
  <c r="J269" i="10"/>
  <c r="I269" i="10"/>
  <c r="J268" i="10"/>
  <c r="I268" i="10"/>
  <c r="J267" i="10"/>
  <c r="I267" i="10"/>
  <c r="J266" i="10"/>
  <c r="I266" i="10"/>
  <c r="J265" i="10"/>
  <c r="I265" i="10"/>
  <c r="J264" i="10"/>
  <c r="I264" i="10"/>
  <c r="J263" i="10"/>
  <c r="I263" i="10"/>
  <c r="J262" i="10"/>
  <c r="I262" i="10"/>
  <c r="J261" i="10"/>
  <c r="I261" i="10"/>
  <c r="J260" i="10"/>
  <c r="I260" i="10"/>
  <c r="J259" i="10"/>
  <c r="I259" i="10"/>
  <c r="J258" i="10"/>
  <c r="I258" i="10"/>
  <c r="J257" i="10"/>
  <c r="I257" i="10"/>
  <c r="J256" i="10"/>
  <c r="I256" i="10"/>
  <c r="J255" i="10"/>
  <c r="I255" i="10"/>
  <c r="J254" i="10"/>
  <c r="I254" i="10"/>
  <c r="J253" i="10"/>
  <c r="I253" i="10"/>
  <c r="I252" i="10"/>
  <c r="AA247" i="10"/>
  <c r="Z247" i="10"/>
  <c r="Y247" i="10"/>
  <c r="X247" i="10"/>
  <c r="W247" i="10"/>
  <c r="L247" i="10"/>
  <c r="K246" i="10"/>
  <c r="H244" i="10"/>
  <c r="H245" i="10" s="1"/>
  <c r="H246" i="10" s="1"/>
  <c r="H247" i="10" s="1"/>
  <c r="H248" i="10" s="1"/>
  <c r="H249" i="10" s="1"/>
  <c r="H250" i="10" s="1"/>
  <c r="H251" i="10" s="1"/>
  <c r="H252" i="10" s="1"/>
  <c r="H253" i="10" s="1"/>
  <c r="H254" i="10" s="1"/>
  <c r="H255" i="10" s="1"/>
  <c r="H256" i="10" s="1"/>
  <c r="H257" i="10" s="1"/>
  <c r="H258" i="10" s="1"/>
  <c r="H259" i="10" s="1"/>
  <c r="H260" i="10" s="1"/>
  <c r="H261" i="10" s="1"/>
  <c r="H262" i="10" s="1"/>
  <c r="H263" i="10" s="1"/>
  <c r="H264" i="10" s="1"/>
  <c r="H265" i="10" s="1"/>
  <c r="H266" i="10" s="1"/>
  <c r="H267" i="10" s="1"/>
  <c r="H268" i="10" s="1"/>
  <c r="H269" i="10" s="1"/>
  <c r="H270" i="10" s="1"/>
  <c r="H271" i="10" s="1"/>
  <c r="H272" i="10" s="1"/>
  <c r="H273" i="10" s="1"/>
  <c r="H274" i="10" s="1"/>
  <c r="H275" i="10" s="1"/>
  <c r="H276" i="10" s="1"/>
  <c r="H277" i="10" s="1"/>
  <c r="H278" i="10" s="1"/>
  <c r="H279" i="10" s="1"/>
  <c r="H280" i="10" s="1"/>
  <c r="H281" i="10" s="1"/>
  <c r="K245" i="10"/>
  <c r="J242" i="10"/>
  <c r="I242" i="10"/>
  <c r="J241" i="10"/>
  <c r="I241" i="10"/>
  <c r="J240" i="10"/>
  <c r="I240" i="10"/>
  <c r="J239" i="10"/>
  <c r="I239" i="10"/>
  <c r="J238" i="10"/>
  <c r="I238" i="10"/>
  <c r="J237" i="10"/>
  <c r="I237" i="10"/>
  <c r="J236" i="10"/>
  <c r="I236" i="10"/>
  <c r="J235" i="10"/>
  <c r="I235" i="10"/>
  <c r="I234" i="10"/>
  <c r="J233" i="10"/>
  <c r="I233" i="10"/>
  <c r="J232" i="10"/>
  <c r="I232" i="10"/>
  <c r="J231" i="10"/>
  <c r="I231" i="10"/>
  <c r="J230" i="10"/>
  <c r="I230" i="10"/>
  <c r="J229" i="10"/>
  <c r="I229" i="10"/>
  <c r="J228" i="10"/>
  <c r="I228" i="10"/>
  <c r="J227" i="10"/>
  <c r="I227" i="10"/>
  <c r="J226" i="10"/>
  <c r="I226" i="10"/>
  <c r="J225" i="10"/>
  <c r="I225" i="10"/>
  <c r="J224" i="10"/>
  <c r="I224" i="10"/>
  <c r="J223" i="10"/>
  <c r="I223" i="10"/>
  <c r="J222" i="10"/>
  <c r="I222" i="10"/>
  <c r="J221" i="10"/>
  <c r="I221" i="10"/>
  <c r="J220" i="10"/>
  <c r="I220" i="10"/>
  <c r="J219" i="10"/>
  <c r="I219" i="10"/>
  <c r="J218" i="10"/>
  <c r="I218" i="10"/>
  <c r="J217" i="10"/>
  <c r="I217" i="10"/>
  <c r="J216" i="10"/>
  <c r="I216" i="10"/>
  <c r="J215" i="10"/>
  <c r="I215" i="10"/>
  <c r="I214" i="10"/>
  <c r="J211" i="10"/>
  <c r="AB209" i="10"/>
  <c r="AA209" i="10"/>
  <c r="Z209" i="10"/>
  <c r="Y209" i="10"/>
  <c r="X209" i="10"/>
  <c r="W209" i="10"/>
  <c r="L209" i="10"/>
  <c r="K208" i="10"/>
  <c r="H206" i="10"/>
  <c r="H207" i="10" s="1"/>
  <c r="H208" i="10" s="1"/>
  <c r="K207" i="10"/>
  <c r="J204" i="10"/>
  <c r="I204" i="10"/>
  <c r="J203" i="10"/>
  <c r="I203" i="10"/>
  <c r="J202" i="10"/>
  <c r="I202" i="10"/>
  <c r="J201" i="10"/>
  <c r="I201" i="10"/>
  <c r="J200" i="10"/>
  <c r="I200" i="10"/>
  <c r="J199" i="10"/>
  <c r="I199" i="10"/>
  <c r="J198" i="10"/>
  <c r="I198" i="10"/>
  <c r="J197" i="10"/>
  <c r="I197" i="10"/>
  <c r="I196" i="10"/>
  <c r="J195" i="10"/>
  <c r="I195" i="10"/>
  <c r="J194" i="10"/>
  <c r="I194" i="10"/>
  <c r="J193" i="10"/>
  <c r="I193" i="10"/>
  <c r="J192" i="10"/>
  <c r="I192" i="10"/>
  <c r="J191" i="10"/>
  <c r="I191" i="10"/>
  <c r="J190" i="10"/>
  <c r="I190" i="10"/>
  <c r="AU189" i="10"/>
  <c r="AU190" i="10" s="1"/>
  <c r="J189" i="10"/>
  <c r="I189" i="10"/>
  <c r="J188" i="10"/>
  <c r="I188" i="10"/>
  <c r="J187" i="10"/>
  <c r="I187" i="10"/>
  <c r="J186" i="10"/>
  <c r="I186" i="10"/>
  <c r="J185" i="10"/>
  <c r="I185" i="10"/>
  <c r="J184" i="10"/>
  <c r="I184" i="10"/>
  <c r="J183" i="10"/>
  <c r="I183" i="10"/>
  <c r="J182" i="10"/>
  <c r="I182" i="10"/>
  <c r="J181" i="10"/>
  <c r="I181" i="10"/>
  <c r="J180" i="10"/>
  <c r="I180" i="10"/>
  <c r="J179" i="10"/>
  <c r="I179" i="10"/>
  <c r="J178" i="10"/>
  <c r="I178" i="10"/>
  <c r="AZ177" i="10"/>
  <c r="AY177" i="10"/>
  <c r="AW177" i="10"/>
  <c r="J177" i="10"/>
  <c r="I177" i="10"/>
  <c r="I176" i="10"/>
  <c r="AB171" i="10"/>
  <c r="AA171" i="10"/>
  <c r="Z171" i="10"/>
  <c r="Y171" i="10"/>
  <c r="X171" i="10"/>
  <c r="W171" i="10"/>
  <c r="L171" i="10"/>
  <c r="K170" i="10"/>
  <c r="J170" i="10"/>
  <c r="F170" i="10"/>
  <c r="H168" i="10" s="1"/>
  <c r="H169" i="10" s="1"/>
  <c r="H170" i="10" s="1"/>
  <c r="H171" i="10" s="1"/>
  <c r="H172" i="10" s="1"/>
  <c r="H173" i="10" s="1"/>
  <c r="H174" i="10" s="1"/>
  <c r="H175" i="10" s="1"/>
  <c r="H176" i="10" s="1"/>
  <c r="H177" i="10" s="1"/>
  <c r="H178" i="10" s="1"/>
  <c r="H179" i="10" s="1"/>
  <c r="H180" i="10" s="1"/>
  <c r="H181" i="10" s="1"/>
  <c r="H182" i="10" s="1"/>
  <c r="H183" i="10" s="1"/>
  <c r="H184" i="10" s="1"/>
  <c r="H185" i="10" s="1"/>
  <c r="H186" i="10" s="1"/>
  <c r="H187" i="10" s="1"/>
  <c r="H188" i="10" s="1"/>
  <c r="H189" i="10" s="1"/>
  <c r="H190" i="10" s="1"/>
  <c r="H191" i="10" s="1"/>
  <c r="H192" i="10" s="1"/>
  <c r="H193" i="10" s="1"/>
  <c r="H194" i="10" s="1"/>
  <c r="H195" i="10" s="1"/>
  <c r="H196" i="10" s="1"/>
  <c r="H197" i="10" s="1"/>
  <c r="H198" i="10" s="1"/>
  <c r="H199" i="10" s="1"/>
  <c r="H200" i="10" s="1"/>
  <c r="H201" i="10" s="1"/>
  <c r="H202" i="10" s="1"/>
  <c r="H203" i="10" s="1"/>
  <c r="H204" i="10" s="1"/>
  <c r="H205" i="10" s="1"/>
  <c r="J166" i="10"/>
  <c r="I166" i="10"/>
  <c r="J165" i="10"/>
  <c r="I165" i="10"/>
  <c r="J164" i="10"/>
  <c r="I164" i="10"/>
  <c r="J163" i="10"/>
  <c r="I163" i="10"/>
  <c r="J162" i="10"/>
  <c r="I162" i="10"/>
  <c r="X161" i="10"/>
  <c r="J161" i="10"/>
  <c r="I161" i="10"/>
  <c r="J160" i="10"/>
  <c r="I160" i="10"/>
  <c r="J159" i="10"/>
  <c r="I159" i="10"/>
  <c r="I158" i="10"/>
  <c r="J157" i="10"/>
  <c r="I157" i="10"/>
  <c r="J156" i="10"/>
  <c r="I156" i="10"/>
  <c r="U156" i="10"/>
  <c r="X155" i="10"/>
  <c r="J155" i="10"/>
  <c r="I155" i="10"/>
  <c r="J154" i="10"/>
  <c r="I154" i="10"/>
  <c r="U153" i="10"/>
  <c r="U154" i="10" s="1"/>
  <c r="J153" i="10"/>
  <c r="I153" i="10"/>
  <c r="J152" i="10"/>
  <c r="I152" i="10"/>
  <c r="J151" i="10"/>
  <c r="I151" i="10"/>
  <c r="J150" i="10"/>
  <c r="I150" i="10"/>
  <c r="J149" i="10"/>
  <c r="I149" i="10"/>
  <c r="X148" i="10"/>
  <c r="J148" i="10"/>
  <c r="I148" i="10"/>
  <c r="X147" i="10"/>
  <c r="J147" i="10"/>
  <c r="I147" i="10"/>
  <c r="J146" i="10"/>
  <c r="I146" i="10"/>
  <c r="X145" i="10"/>
  <c r="J145" i="10"/>
  <c r="I145" i="10"/>
  <c r="J144" i="10"/>
  <c r="I144" i="10"/>
  <c r="X143" i="10"/>
  <c r="J143" i="10"/>
  <c r="I143" i="10"/>
  <c r="J142" i="10"/>
  <c r="I142" i="10"/>
  <c r="X141" i="10"/>
  <c r="J141" i="10"/>
  <c r="I141" i="10"/>
  <c r="X140" i="10"/>
  <c r="J140" i="10"/>
  <c r="I140" i="10"/>
  <c r="J139" i="10"/>
  <c r="I139" i="10"/>
  <c r="I138" i="10"/>
  <c r="X137" i="10"/>
  <c r="X134" i="10"/>
  <c r="AB133" i="10"/>
  <c r="AA133" i="10"/>
  <c r="Z133" i="10"/>
  <c r="Y133" i="10"/>
  <c r="X133" i="10"/>
  <c r="W133" i="10"/>
  <c r="L133" i="10"/>
  <c r="J133" i="10"/>
  <c r="K132" i="10"/>
  <c r="H130" i="10"/>
  <c r="H131" i="10" s="1"/>
  <c r="H132" i="10" s="1"/>
  <c r="H133" i="10" s="1"/>
  <c r="H134" i="10" s="1"/>
  <c r="H135" i="10" s="1"/>
  <c r="H136" i="10" s="1"/>
  <c r="H137" i="10" s="1"/>
  <c r="H138" i="10" s="1"/>
  <c r="H139" i="10" s="1"/>
  <c r="H140" i="10" s="1"/>
  <c r="H141" i="10" s="1"/>
  <c r="H142" i="10" s="1"/>
  <c r="H143" i="10" s="1"/>
  <c r="H144" i="10" s="1"/>
  <c r="H145" i="10" s="1"/>
  <c r="H146" i="10" s="1"/>
  <c r="H147" i="10" s="1"/>
  <c r="H148" i="10" s="1"/>
  <c r="H149" i="10" s="1"/>
  <c r="H150" i="10" s="1"/>
  <c r="H151" i="10" s="1"/>
  <c r="H152" i="10" s="1"/>
  <c r="H153" i="10" s="1"/>
  <c r="H154" i="10" s="1"/>
  <c r="H155" i="10" s="1"/>
  <c r="H156" i="10" s="1"/>
  <c r="H157" i="10" s="1"/>
  <c r="H158" i="10" s="1"/>
  <c r="H159" i="10" s="1"/>
  <c r="H160" i="10" s="1"/>
  <c r="H161" i="10" s="1"/>
  <c r="H162" i="10" s="1"/>
  <c r="H163" i="10" s="1"/>
  <c r="H164" i="10" s="1"/>
  <c r="H165" i="10" s="1"/>
  <c r="H166" i="10" s="1"/>
  <c r="H167" i="10" s="1"/>
  <c r="K131" i="10"/>
  <c r="J128" i="10"/>
  <c r="I128" i="10"/>
  <c r="J127" i="10"/>
  <c r="I127" i="10"/>
  <c r="J126" i="10"/>
  <c r="I126" i="10"/>
  <c r="J125" i="10"/>
  <c r="I125" i="10"/>
  <c r="J124" i="10"/>
  <c r="I124" i="10"/>
  <c r="Y123" i="10"/>
  <c r="J123" i="10"/>
  <c r="I123" i="10"/>
  <c r="Y122" i="10"/>
  <c r="J122" i="10"/>
  <c r="I122" i="10"/>
  <c r="J121" i="10"/>
  <c r="I121" i="10"/>
  <c r="I120" i="10"/>
  <c r="J119" i="10"/>
  <c r="I119" i="10"/>
  <c r="J118" i="10"/>
  <c r="I118" i="10"/>
  <c r="J117" i="10"/>
  <c r="I117" i="10"/>
  <c r="J116" i="10"/>
  <c r="I116" i="10"/>
  <c r="J115" i="10"/>
  <c r="I115" i="10"/>
  <c r="Y114" i="10"/>
  <c r="J114" i="10"/>
  <c r="I114" i="10"/>
  <c r="J113" i="10"/>
  <c r="I113" i="10"/>
  <c r="Y112" i="10"/>
  <c r="J112" i="10"/>
  <c r="I112" i="10"/>
  <c r="J111" i="10"/>
  <c r="I111" i="10"/>
  <c r="Y110" i="10"/>
  <c r="J110" i="10"/>
  <c r="I110" i="10"/>
  <c r="Y109" i="10"/>
  <c r="J109" i="10"/>
  <c r="I109" i="10"/>
  <c r="J108" i="10"/>
  <c r="I108" i="10"/>
  <c r="Y107" i="10"/>
  <c r="J107" i="10"/>
  <c r="I107" i="10"/>
  <c r="Y106" i="10"/>
  <c r="J106" i="10"/>
  <c r="I106" i="10"/>
  <c r="Y105" i="10"/>
  <c r="J105" i="10"/>
  <c r="I105" i="10"/>
  <c r="Y104" i="10"/>
  <c r="J104" i="10"/>
  <c r="I104" i="10"/>
  <c r="Y103" i="10"/>
  <c r="J103" i="10"/>
  <c r="I103" i="10"/>
  <c r="Y102" i="10"/>
  <c r="J102" i="10"/>
  <c r="I102" i="10"/>
  <c r="J101" i="10"/>
  <c r="I101" i="10"/>
  <c r="I100" i="10"/>
  <c r="Y99" i="10"/>
  <c r="Y96" i="10"/>
  <c r="AB95" i="10"/>
  <c r="AA95" i="10"/>
  <c r="Z95" i="10"/>
  <c r="Y95" i="10"/>
  <c r="X95" i="10"/>
  <c r="W95" i="10"/>
  <c r="L95" i="10"/>
  <c r="J95" i="10"/>
  <c r="K94" i="10"/>
  <c r="H92" i="10"/>
  <c r="H93" i="10" s="1"/>
  <c r="H94" i="10" s="1"/>
  <c r="K93" i="10"/>
  <c r="Y85" i="10"/>
  <c r="Y84" i="10"/>
  <c r="Y76" i="10"/>
  <c r="Y74" i="10"/>
  <c r="Y71" i="10"/>
  <c r="Y69" i="10"/>
  <c r="Y68" i="10"/>
  <c r="Y67" i="10"/>
  <c r="Y66" i="10"/>
  <c r="Y65" i="10"/>
  <c r="Y64" i="10"/>
  <c r="Y58" i="10"/>
  <c r="AB57" i="10"/>
  <c r="AA57" i="10"/>
  <c r="Z57" i="10"/>
  <c r="Y57" i="10"/>
  <c r="X57" i="10"/>
  <c r="W57" i="10"/>
  <c r="L57" i="10"/>
  <c r="L56" i="10"/>
  <c r="AE151" i="10" s="1"/>
  <c r="K56" i="10"/>
  <c r="F56" i="10"/>
  <c r="H54" i="10" s="1"/>
  <c r="H55" i="10" s="1"/>
  <c r="H56" i="10" s="1"/>
  <c r="G51" i="10"/>
  <c r="H51" i="10" s="1"/>
  <c r="I51" i="10" s="1"/>
  <c r="J51" i="10" s="1"/>
  <c r="W49" i="10"/>
  <c r="T49" i="10"/>
  <c r="S49" i="10"/>
  <c r="R49" i="10"/>
  <c r="Q49" i="10"/>
  <c r="P49" i="10"/>
  <c r="O49" i="10"/>
  <c r="AF9" i="10"/>
  <c r="AF8" i="10"/>
  <c r="T151" i="10" l="1"/>
  <c r="T153" i="10" s="1"/>
  <c r="T154" i="10" s="1"/>
  <c r="R151" i="10"/>
  <c r="O151" i="10"/>
  <c r="W114" i="10"/>
  <c r="M56" i="10"/>
  <c r="X114" i="10"/>
  <c r="W141" i="10"/>
  <c r="W147" i="10"/>
  <c r="W148" i="10"/>
  <c r="X76" i="10"/>
  <c r="AB69" i="10"/>
  <c r="AB110" i="10"/>
  <c r="R126" i="10"/>
  <c r="L93" i="10"/>
  <c r="U157" i="10"/>
  <c r="P75" i="10"/>
  <c r="P77" i="10" s="1"/>
  <c r="W96" i="10"/>
  <c r="L131" i="10"/>
  <c r="Y140" i="10"/>
  <c r="X96" i="10"/>
  <c r="X111" i="10"/>
  <c r="Z140" i="10"/>
  <c r="P139" i="10"/>
  <c r="X139" i="10" s="1"/>
  <c r="X68" i="10"/>
  <c r="AB85" i="10"/>
  <c r="W61" i="10"/>
  <c r="W67" i="10"/>
  <c r="W69" i="10"/>
  <c r="W71" i="10"/>
  <c r="AA72" i="10"/>
  <c r="X107" i="10"/>
  <c r="Y124" i="10"/>
  <c r="W140" i="10"/>
  <c r="AA140" i="10"/>
  <c r="AA161" i="10"/>
  <c r="X122" i="10"/>
  <c r="AB123" i="10"/>
  <c r="Z65" i="10"/>
  <c r="Z73" i="10"/>
  <c r="T88" i="10"/>
  <c r="Z102" i="10"/>
  <c r="T101" i="10"/>
  <c r="R164" i="10"/>
  <c r="Y161" i="10"/>
  <c r="Q56" i="10"/>
  <c r="AA68" i="10"/>
  <c r="AE91" i="10"/>
  <c r="AB103" i="10"/>
  <c r="AA104" i="10"/>
  <c r="Z114" i="10"/>
  <c r="Z141" i="10"/>
  <c r="Z144" i="10"/>
  <c r="Z145" i="10"/>
  <c r="Z67" i="10"/>
  <c r="AB68" i="10"/>
  <c r="Z76" i="10"/>
  <c r="X85" i="10"/>
  <c r="Z99" i="10"/>
  <c r="Z107" i="10"/>
  <c r="K125" i="10"/>
  <c r="Y134" i="10"/>
  <c r="AA141" i="10"/>
  <c r="Q139" i="10"/>
  <c r="L245" i="10"/>
  <c r="AB114" i="10"/>
  <c r="AB160" i="10"/>
  <c r="L283" i="10"/>
  <c r="X69" i="10"/>
  <c r="Z117" i="10"/>
  <c r="AA137" i="10"/>
  <c r="W145" i="10"/>
  <c r="K169" i="10"/>
  <c r="U164" i="10"/>
  <c r="Z68" i="10"/>
  <c r="AA103" i="10"/>
  <c r="K55" i="10"/>
  <c r="W68" i="10"/>
  <c r="AA85" i="10"/>
  <c r="Z96" i="10"/>
  <c r="X103" i="10"/>
  <c r="T156" i="10"/>
  <c r="W144" i="10"/>
  <c r="L207" i="10"/>
  <c r="X58" i="10"/>
  <c r="X64" i="10"/>
  <c r="AA69" i="10"/>
  <c r="O80" i="10"/>
  <c r="W84" i="10"/>
  <c r="AB105" i="10"/>
  <c r="X106" i="10"/>
  <c r="AB106" i="10"/>
  <c r="AA109" i="10"/>
  <c r="X117" i="10"/>
  <c r="AB122" i="10"/>
  <c r="Z64" i="10"/>
  <c r="S63" i="10"/>
  <c r="Y117" i="10"/>
  <c r="AB147" i="10"/>
  <c r="AA67" i="10"/>
  <c r="Z74" i="10"/>
  <c r="AB79" i="10"/>
  <c r="AA99" i="10"/>
  <c r="Z105" i="10"/>
  <c r="Z106" i="10"/>
  <c r="O101" i="10"/>
  <c r="Z137" i="10"/>
  <c r="AA142" i="10"/>
  <c r="AB143" i="10"/>
  <c r="Y148" i="10"/>
  <c r="AA149" i="10"/>
  <c r="S164" i="10"/>
  <c r="W58" i="10"/>
  <c r="X65" i="10"/>
  <c r="Z66" i="10"/>
  <c r="X67" i="10"/>
  <c r="AB67" i="10"/>
  <c r="Z69" i="10"/>
  <c r="S88" i="10"/>
  <c r="R80" i="10"/>
  <c r="AB99" i="10"/>
  <c r="X102" i="10"/>
  <c r="Z103" i="10"/>
  <c r="AA105" i="10"/>
  <c r="W106" i="10"/>
  <c r="Z110" i="10"/>
  <c r="AB111" i="10"/>
  <c r="X112" i="10"/>
  <c r="AB112" i="10"/>
  <c r="W117" i="10"/>
  <c r="W134" i="10"/>
  <c r="AB140" i="10"/>
  <c r="Y141" i="10"/>
  <c r="AB145" i="10"/>
  <c r="Z147" i="10"/>
  <c r="Q151" i="10"/>
  <c r="Q153" i="10" s="1"/>
  <c r="Q154" i="10" s="1"/>
  <c r="Y149" i="10"/>
  <c r="H404" i="10"/>
  <c r="H405" i="10" s="1"/>
  <c r="H406" i="10" s="1"/>
  <c r="H407" i="10" s="1"/>
  <c r="H408" i="10" s="1"/>
  <c r="H409" i="10" s="1"/>
  <c r="H410" i="10" s="1"/>
  <c r="H411" i="10" s="1"/>
  <c r="H412" i="10" s="1"/>
  <c r="H413" i="10" s="1"/>
  <c r="H414" i="10" s="1"/>
  <c r="H415" i="10" s="1"/>
  <c r="H416" i="10" s="1"/>
  <c r="H417" i="10" s="1"/>
  <c r="H418" i="10" s="1"/>
  <c r="H419" i="10" s="1"/>
  <c r="H420" i="10" s="1"/>
  <c r="H421" i="10" s="1"/>
  <c r="H422" i="10" s="1"/>
  <c r="H423" i="10" s="1"/>
  <c r="H424" i="10" s="1"/>
  <c r="H425" i="10" s="1"/>
  <c r="H426" i="10" s="1"/>
  <c r="H427" i="10" s="1"/>
  <c r="H428" i="10" s="1"/>
  <c r="H429" i="10" s="1"/>
  <c r="H430" i="10" s="1"/>
  <c r="H431" i="10" s="1"/>
  <c r="H432" i="10" s="1"/>
  <c r="H433" i="10" s="1"/>
  <c r="H399" i="10"/>
  <c r="H400" i="10" s="1"/>
  <c r="H401" i="10" s="1"/>
  <c r="H402" i="10" s="1"/>
  <c r="H403" i="10" s="1"/>
  <c r="Q156" i="10"/>
  <c r="T164" i="10"/>
  <c r="T165" i="10" s="1"/>
  <c r="Z123" i="10"/>
  <c r="Z72" i="10"/>
  <c r="T63" i="10"/>
  <c r="AA79" i="10"/>
  <c r="AA107" i="10"/>
  <c r="Z111" i="10"/>
  <c r="AB144" i="10"/>
  <c r="R139" i="10"/>
  <c r="X61" i="10"/>
  <c r="Z61" i="10"/>
  <c r="O88" i="10"/>
  <c r="AB107" i="10"/>
  <c r="P101" i="10"/>
  <c r="AA111" i="10"/>
  <c r="AB141" i="10"/>
  <c r="Y143" i="10"/>
  <c r="AA58" i="10"/>
  <c r="Z71" i="10"/>
  <c r="P88" i="10"/>
  <c r="W79" i="10"/>
  <c r="AA96" i="10"/>
  <c r="W99" i="10"/>
  <c r="W110" i="10"/>
  <c r="T113" i="10"/>
  <c r="T115" i="10" s="1"/>
  <c r="T116" i="10" s="1"/>
  <c r="R113" i="10"/>
  <c r="R115" i="10" s="1"/>
  <c r="R116" i="10" s="1"/>
  <c r="Z134" i="10"/>
  <c r="AA145" i="10"/>
  <c r="Z148" i="10"/>
  <c r="AB58" i="10"/>
  <c r="O75" i="10"/>
  <c r="O77" i="10" s="1"/>
  <c r="Z79" i="10"/>
  <c r="Z85" i="10"/>
  <c r="X99" i="10"/>
  <c r="W103" i="10"/>
  <c r="AA106" i="10"/>
  <c r="Z109" i="10"/>
  <c r="X110" i="10"/>
  <c r="S113" i="10"/>
  <c r="S115" i="10" s="1"/>
  <c r="S116" i="10" s="1"/>
  <c r="AA114" i="10"/>
  <c r="AA134" i="10"/>
  <c r="Y145" i="10"/>
  <c r="AA148" i="10"/>
  <c r="AB148" i="10"/>
  <c r="O164" i="10"/>
  <c r="O165" i="10" s="1"/>
  <c r="T139" i="10"/>
  <c r="O63" i="10"/>
  <c r="W107" i="10"/>
  <c r="S101" i="10"/>
  <c r="AA110" i="10"/>
  <c r="Y111" i="10"/>
  <c r="AB142" i="10"/>
  <c r="O139" i="10"/>
  <c r="Z58" i="10"/>
  <c r="P63" i="10"/>
  <c r="X66" i="10"/>
  <c r="W72" i="10"/>
  <c r="AA73" i="10"/>
  <c r="P80" i="10"/>
  <c r="S87" i="10"/>
  <c r="T118" i="10"/>
  <c r="AB104" i="10"/>
  <c r="W111" i="10"/>
  <c r="X123" i="10"/>
  <c r="Y144" i="10"/>
  <c r="S151" i="10"/>
  <c r="S153" i="10" s="1"/>
  <c r="Y147" i="10"/>
  <c r="W155" i="10"/>
  <c r="Y155" i="10"/>
  <c r="H95" i="10"/>
  <c r="H96" i="10" s="1"/>
  <c r="H97" i="10" s="1"/>
  <c r="H98" i="10" s="1"/>
  <c r="H99" i="10" s="1"/>
  <c r="H100" i="10"/>
  <c r="H101" i="10" s="1"/>
  <c r="H102" i="10" s="1"/>
  <c r="H103" i="10" s="1"/>
  <c r="H104" i="10" s="1"/>
  <c r="H105" i="10" s="1"/>
  <c r="H106" i="10" s="1"/>
  <c r="H107" i="10" s="1"/>
  <c r="H108" i="10" s="1"/>
  <c r="H109" i="10" s="1"/>
  <c r="H110" i="10" s="1"/>
  <c r="H111" i="10" s="1"/>
  <c r="H112" i="10" s="1"/>
  <c r="H113" i="10" s="1"/>
  <c r="H114" i="10" s="1"/>
  <c r="H115" i="10" s="1"/>
  <c r="H116" i="10" s="1"/>
  <c r="H117" i="10" s="1"/>
  <c r="H118" i="10" s="1"/>
  <c r="H119" i="10" s="1"/>
  <c r="H120" i="10" s="1"/>
  <c r="H121" i="10" s="1"/>
  <c r="H122" i="10" s="1"/>
  <c r="H123" i="10" s="1"/>
  <c r="H124" i="10" s="1"/>
  <c r="H125" i="10" s="1"/>
  <c r="H126" i="10" s="1"/>
  <c r="H127" i="10" s="1"/>
  <c r="H128" i="10" s="1"/>
  <c r="H129" i="10" s="1"/>
  <c r="H58" i="10"/>
  <c r="H60" i="10" s="1"/>
  <c r="H62" i="10" s="1"/>
  <c r="H57" i="10"/>
  <c r="H59" i="10" s="1"/>
  <c r="H61" i="10" s="1"/>
  <c r="H63" i="10" s="1"/>
  <c r="H64" i="10" s="1"/>
  <c r="H65" i="10" s="1"/>
  <c r="H66" i="10" s="1"/>
  <c r="H67" i="10" s="1"/>
  <c r="H68" i="10" s="1"/>
  <c r="H69" i="10" s="1"/>
  <c r="H70" i="10" s="1"/>
  <c r="H71" i="10" s="1"/>
  <c r="H72" i="10" s="1"/>
  <c r="H73" i="10" s="1"/>
  <c r="H74" i="10" s="1"/>
  <c r="H75" i="10" s="1"/>
  <c r="H76" i="10" s="1"/>
  <c r="H77" i="10" s="1"/>
  <c r="H78" i="10" s="1"/>
  <c r="H79" i="10" s="1"/>
  <c r="H80" i="10" s="1"/>
  <c r="H81" i="10" s="1"/>
  <c r="H82" i="10" s="1"/>
  <c r="H83" i="10" s="1"/>
  <c r="H84" i="10" s="1"/>
  <c r="H85" i="10" s="1"/>
  <c r="H86" i="10" s="1"/>
  <c r="H87" i="10" s="1"/>
  <c r="H88" i="10" s="1"/>
  <c r="H89" i="10" s="1"/>
  <c r="H90" i="10" s="1"/>
  <c r="H91" i="10" s="1"/>
  <c r="X152" i="10"/>
  <c r="AB152" i="10"/>
  <c r="Q63" i="10"/>
  <c r="AA64" i="10"/>
  <c r="AB74" i="10"/>
  <c r="P87" i="10"/>
  <c r="AB65" i="10"/>
  <c r="Q101" i="10"/>
  <c r="AB102" i="10"/>
  <c r="Q118" i="10"/>
  <c r="AA117" i="10"/>
  <c r="P118" i="10"/>
  <c r="AB137" i="10"/>
  <c r="Y142" i="10"/>
  <c r="X149" i="10"/>
  <c r="P151" i="10"/>
  <c r="W151" i="10" s="1"/>
  <c r="Z149" i="10"/>
  <c r="AB149" i="10"/>
  <c r="Z152" i="10"/>
  <c r="S163" i="10"/>
  <c r="AA160" i="10"/>
  <c r="AA71" i="10"/>
  <c r="U401" i="10"/>
  <c r="AB61" i="10"/>
  <c r="AA66" i="10"/>
  <c r="AB71" i="10"/>
  <c r="O118" i="10"/>
  <c r="S75" i="10"/>
  <c r="AE75" i="10"/>
  <c r="AB76" i="10"/>
  <c r="T75" i="10"/>
  <c r="X79" i="10"/>
  <c r="Q80" i="10"/>
  <c r="AA84" i="10"/>
  <c r="R87" i="10"/>
  <c r="R101" i="10"/>
  <c r="Z104" i="10"/>
  <c r="R118" i="10"/>
  <c r="AB117" i="10"/>
  <c r="S118" i="10"/>
  <c r="Z122" i="10"/>
  <c r="Y137" i="10"/>
  <c r="Z142" i="10"/>
  <c r="S139" i="10"/>
  <c r="AA139" i="10" s="1"/>
  <c r="AA147" i="10"/>
  <c r="AB72" i="10"/>
  <c r="AB73" i="10"/>
  <c r="O153" i="10"/>
  <c r="R63" i="10"/>
  <c r="AB64" i="10"/>
  <c r="AB66" i="10"/>
  <c r="Z84" i="10"/>
  <c r="X224" i="10"/>
  <c r="X216" i="10"/>
  <c r="X213" i="10"/>
  <c r="X220" i="10"/>
  <c r="X237" i="10"/>
  <c r="X211" i="10"/>
  <c r="X210" i="10"/>
  <c r="X221" i="10"/>
  <c r="X218" i="10"/>
  <c r="X217" i="10"/>
  <c r="X228" i="10"/>
  <c r="X223" i="10"/>
  <c r="W73" i="10"/>
  <c r="W74" i="10"/>
  <c r="Y79" i="10"/>
  <c r="X84" i="10"/>
  <c r="AB84" i="10"/>
  <c r="L94" i="10"/>
  <c r="S125" i="10"/>
  <c r="AA122" i="10"/>
  <c r="AB134" i="10"/>
  <c r="Z143" i="10"/>
  <c r="H209" i="10"/>
  <c r="H210" i="10" s="1"/>
  <c r="H211" i="10" s="1"/>
  <c r="H212" i="10" s="1"/>
  <c r="H213" i="10" s="1"/>
  <c r="H214" i="10"/>
  <c r="H215" i="10" s="1"/>
  <c r="H216" i="10" s="1"/>
  <c r="H217" i="10" s="1"/>
  <c r="H218" i="10" s="1"/>
  <c r="H219" i="10" s="1"/>
  <c r="H220" i="10" s="1"/>
  <c r="H221" i="10" s="1"/>
  <c r="H222" i="10" s="1"/>
  <c r="H223" i="10" s="1"/>
  <c r="H224" i="10" s="1"/>
  <c r="H225" i="10" s="1"/>
  <c r="H226" i="10" s="1"/>
  <c r="H227" i="10" s="1"/>
  <c r="H228" i="10" s="1"/>
  <c r="H229" i="10" s="1"/>
  <c r="H230" i="10" s="1"/>
  <c r="H231" i="10" s="1"/>
  <c r="H232" i="10" s="1"/>
  <c r="H233" i="10" s="1"/>
  <c r="H234" i="10" s="1"/>
  <c r="H235" i="10" s="1"/>
  <c r="H236" i="10" s="1"/>
  <c r="H237" i="10" s="1"/>
  <c r="H238" i="10" s="1"/>
  <c r="H239" i="10" s="1"/>
  <c r="H240" i="10" s="1"/>
  <c r="H241" i="10" s="1"/>
  <c r="H242" i="10" s="1"/>
  <c r="H243" i="10" s="1"/>
  <c r="AA74" i="10"/>
  <c r="Q75" i="10"/>
  <c r="O125" i="10"/>
  <c r="AB109" i="10"/>
  <c r="X71" i="10"/>
  <c r="X72" i="10"/>
  <c r="X73" i="10"/>
  <c r="X74" i="10"/>
  <c r="W76" i="10"/>
  <c r="X109" i="10"/>
  <c r="W112" i="10"/>
  <c r="O113" i="10"/>
  <c r="W123" i="10"/>
  <c r="T125" i="10"/>
  <c r="M140" i="10"/>
  <c r="W143" i="10"/>
  <c r="AA143" i="10"/>
  <c r="AA144" i="10"/>
  <c r="Y152" i="10"/>
  <c r="R156" i="10"/>
  <c r="Z155" i="10"/>
  <c r="O156" i="10"/>
  <c r="AA61" i="10"/>
  <c r="AA102" i="10"/>
  <c r="W64" i="10"/>
  <c r="W65" i="10"/>
  <c r="S80" i="10"/>
  <c r="W102" i="10"/>
  <c r="Z304" i="10"/>
  <c r="Z295" i="10"/>
  <c r="Z287" i="10"/>
  <c r="Z249" i="10"/>
  <c r="Z297" i="10"/>
  <c r="Z261" i="10"/>
  <c r="Z257" i="10"/>
  <c r="Z248" i="10"/>
  <c r="Z313" i="10"/>
  <c r="Z299" i="10"/>
  <c r="Z260" i="10"/>
  <c r="Z258" i="10"/>
  <c r="Z298" i="10"/>
  <c r="Z266" i="10"/>
  <c r="Z300" i="10"/>
  <c r="Z294" i="10"/>
  <c r="Z275" i="10"/>
  <c r="Z262" i="10"/>
  <c r="Z256" i="10"/>
  <c r="Z296" i="10"/>
  <c r="Z286" i="10"/>
  <c r="Z255" i="10"/>
  <c r="Z293" i="10"/>
  <c r="Z259" i="10"/>
  <c r="L398" i="10"/>
  <c r="AE395" i="10"/>
  <c r="AE433" i="10"/>
  <c r="AE416" i="10"/>
  <c r="L360" i="10"/>
  <c r="AE357" i="10"/>
  <c r="AE379" i="10"/>
  <c r="AE319" i="10"/>
  <c r="AE341" i="10"/>
  <c r="L284" i="10"/>
  <c r="AE265" i="10"/>
  <c r="AE243" i="10"/>
  <c r="L322" i="10"/>
  <c r="L208" i="10"/>
  <c r="AE205" i="10"/>
  <c r="L170" i="10"/>
  <c r="AE303" i="10"/>
  <c r="L246" i="10"/>
  <c r="AE227" i="10"/>
  <c r="AE189" i="10"/>
  <c r="AE167" i="10"/>
  <c r="AE281" i="10"/>
  <c r="L132" i="10"/>
  <c r="AE129" i="10"/>
  <c r="Y61" i="10"/>
  <c r="Y72" i="10"/>
  <c r="Y73" i="10"/>
  <c r="T80" i="10"/>
  <c r="W85" i="10"/>
  <c r="Y86" i="10"/>
  <c r="AB96" i="10"/>
  <c r="W104" i="10"/>
  <c r="W105" i="10"/>
  <c r="M110" i="10"/>
  <c r="Z112" i="10"/>
  <c r="P113" i="10"/>
  <c r="W122" i="10"/>
  <c r="X142" i="10"/>
  <c r="O163" i="10"/>
  <c r="R153" i="10"/>
  <c r="AA65" i="10"/>
  <c r="R75" i="10"/>
  <c r="AA76" i="10"/>
  <c r="Y414" i="10"/>
  <c r="Y411" i="10"/>
  <c r="Y402" i="10"/>
  <c r="Y418" i="10"/>
  <c r="Y408" i="10"/>
  <c r="Y413" i="10"/>
  <c r="Y410" i="10"/>
  <c r="Y407" i="10"/>
  <c r="Y389" i="10"/>
  <c r="Y374" i="10"/>
  <c r="Y370" i="10"/>
  <c r="Y412" i="10"/>
  <c r="Y380" i="10"/>
  <c r="Y373" i="10"/>
  <c r="Y369" i="10"/>
  <c r="Y351" i="10"/>
  <c r="Y427" i="10"/>
  <c r="Y376" i="10"/>
  <c r="Y372" i="10"/>
  <c r="Y338" i="10"/>
  <c r="Y337" i="10"/>
  <c r="Y336" i="10"/>
  <c r="Y335" i="10"/>
  <c r="Y334" i="10"/>
  <c r="Y333" i="10"/>
  <c r="Y332" i="10"/>
  <c r="Y331" i="10"/>
  <c r="Y375" i="10"/>
  <c r="Y371" i="10"/>
  <c r="Y325" i="10"/>
  <c r="Y324" i="10"/>
  <c r="Y342" i="10"/>
  <c r="Y409" i="10"/>
  <c r="Y364" i="10"/>
  <c r="Y186" i="10"/>
  <c r="Y172" i="10"/>
  <c r="Y199" i="10"/>
  <c r="Y185" i="10"/>
  <c r="Y175" i="10"/>
  <c r="Y182" i="10"/>
  <c r="Y181" i="10"/>
  <c r="W66" i="10"/>
  <c r="AA412" i="10"/>
  <c r="AA335" i="10"/>
  <c r="X104" i="10"/>
  <c r="X105" i="10"/>
  <c r="W109" i="10"/>
  <c r="AA112" i="10"/>
  <c r="Q113" i="10"/>
  <c r="AE113" i="10"/>
  <c r="AA123" i="10"/>
  <c r="W137" i="10"/>
  <c r="X144" i="10"/>
  <c r="W149" i="10"/>
  <c r="AA159" i="10"/>
  <c r="X160" i="10"/>
  <c r="W160" i="10"/>
  <c r="P163" i="10"/>
  <c r="X163" i="10" s="1"/>
  <c r="Z160" i="10"/>
  <c r="Y160" i="10"/>
  <c r="AA152" i="10"/>
  <c r="P156" i="10"/>
  <c r="AA155" i="10"/>
  <c r="S156" i="10"/>
  <c r="W142" i="10"/>
  <c r="W152" i="10"/>
  <c r="AB155" i="10"/>
  <c r="U165" i="10"/>
  <c r="Q163" i="10"/>
  <c r="W161" i="10"/>
  <c r="R163" i="10"/>
  <c r="Z161" i="10"/>
  <c r="T163" i="10"/>
  <c r="M294" i="10"/>
  <c r="AB161" i="10"/>
  <c r="U163" i="10"/>
  <c r="M217" i="10"/>
  <c r="M216" i="10"/>
  <c r="L321" i="10"/>
  <c r="K391" i="10"/>
  <c r="L359" i="10"/>
  <c r="L397" i="10"/>
  <c r="M141" i="10" l="1"/>
  <c r="W139" i="10"/>
  <c r="M275" i="10"/>
  <c r="Z139" i="10"/>
  <c r="K101" i="10"/>
  <c r="W80" i="10"/>
  <c r="T119" i="10"/>
  <c r="AB156" i="10"/>
  <c r="AA300" i="10"/>
  <c r="AA63" i="10"/>
  <c r="M103" i="10"/>
  <c r="M304" i="10"/>
  <c r="L55" i="10"/>
  <c r="Y139" i="10"/>
  <c r="AB118" i="10"/>
  <c r="M104" i="10"/>
  <c r="M107" i="10"/>
  <c r="O81" i="10"/>
  <c r="L169" i="10"/>
  <c r="K316" i="10"/>
  <c r="K308" i="10"/>
  <c r="Q157" i="10"/>
  <c r="AA199" i="10"/>
  <c r="M105" i="10"/>
  <c r="AB139" i="10"/>
  <c r="AA172" i="10"/>
  <c r="AA370" i="10"/>
  <c r="AA374" i="10"/>
  <c r="M114" i="10"/>
  <c r="AA124" i="10"/>
  <c r="AB124" i="10"/>
  <c r="M260" i="10"/>
  <c r="AA364" i="10"/>
  <c r="Z124" i="10"/>
  <c r="K392" i="10"/>
  <c r="K393" i="10" s="1"/>
  <c r="K278" i="10"/>
  <c r="Q164" i="10"/>
  <c r="Q165" i="10" s="1"/>
  <c r="Q125" i="10"/>
  <c r="Y125" i="10" s="1"/>
  <c r="X101" i="10"/>
  <c r="M228" i="10"/>
  <c r="R316" i="10"/>
  <c r="W124" i="10"/>
  <c r="Y237" i="10"/>
  <c r="Z237" i="10"/>
  <c r="X124" i="10"/>
  <c r="AA217" i="10"/>
  <c r="AA257" i="10"/>
  <c r="Y261" i="10"/>
  <c r="K118" i="10"/>
  <c r="Z216" i="10"/>
  <c r="Z113" i="10"/>
  <c r="AA237" i="10"/>
  <c r="Y217" i="10"/>
  <c r="Y257" i="10"/>
  <c r="Z217" i="10"/>
  <c r="M145" i="10"/>
  <c r="X83" i="10"/>
  <c r="AA298" i="10"/>
  <c r="K126" i="10"/>
  <c r="K127" i="10" s="1"/>
  <c r="AA275" i="10"/>
  <c r="Z63" i="10"/>
  <c r="AA259" i="10"/>
  <c r="AA256" i="10"/>
  <c r="Y387" i="10"/>
  <c r="Y210" i="10"/>
  <c r="W101" i="10"/>
  <c r="O3" i="10"/>
  <c r="K232" i="10"/>
  <c r="K6" i="10" s="1"/>
  <c r="K113" i="10"/>
  <c r="K115" i="10" s="1"/>
  <c r="K116" i="10" s="1"/>
  <c r="O316" i="10"/>
  <c r="AA304" i="10"/>
  <c r="AA210" i="10"/>
  <c r="W75" i="10"/>
  <c r="K240" i="10"/>
  <c r="K241" i="10" s="1"/>
  <c r="M123" i="10"/>
  <c r="P125" i="10"/>
  <c r="W86" i="10"/>
  <c r="AA299" i="10"/>
  <c r="Y256" i="10"/>
  <c r="Y259" i="10"/>
  <c r="Y262" i="10"/>
  <c r="AA334" i="10"/>
  <c r="AA411" i="10"/>
  <c r="AA413" i="10"/>
  <c r="Y299" i="10"/>
  <c r="Y228" i="10"/>
  <c r="AA175" i="10"/>
  <c r="AA211" i="10"/>
  <c r="Y211" i="10"/>
  <c r="S278" i="10"/>
  <c r="AA325" i="10"/>
  <c r="Z211" i="10"/>
  <c r="AA228" i="10"/>
  <c r="Z228" i="10"/>
  <c r="L156" i="10"/>
  <c r="M137" i="10"/>
  <c r="M149" i="10"/>
  <c r="P81" i="10"/>
  <c r="M143" i="10"/>
  <c r="Y287" i="10"/>
  <c r="AA351" i="10"/>
  <c r="AA409" i="10"/>
  <c r="AA389" i="10"/>
  <c r="Y255" i="10"/>
  <c r="AB151" i="10"/>
  <c r="AA186" i="10"/>
  <c r="Y221" i="10"/>
  <c r="AA338" i="10"/>
  <c r="AA255" i="10"/>
  <c r="S354" i="10"/>
  <c r="AA336" i="10"/>
  <c r="AA369" i="10"/>
  <c r="AA418" i="10"/>
  <c r="Y296" i="10"/>
  <c r="Y298" i="10"/>
  <c r="Y275" i="10"/>
  <c r="M237" i="10"/>
  <c r="M220" i="10"/>
  <c r="M224" i="10"/>
  <c r="M221" i="10"/>
  <c r="AA371" i="10"/>
  <c r="Z210" i="10"/>
  <c r="T157" i="10"/>
  <c r="M266" i="10"/>
  <c r="M263" i="10"/>
  <c r="M257" i="10"/>
  <c r="Q278" i="10"/>
  <c r="Q316" i="10"/>
  <c r="Z186" i="10"/>
  <c r="Z370" i="10"/>
  <c r="Z389" i="10"/>
  <c r="Z369" i="10"/>
  <c r="Z410" i="10"/>
  <c r="Z402" i="10"/>
  <c r="M144" i="10"/>
  <c r="W211" i="10"/>
  <c r="U430" i="10"/>
  <c r="M161" i="10"/>
  <c r="X257" i="10"/>
  <c r="AB211" i="10"/>
  <c r="AB370" i="10"/>
  <c r="AB371" i="10"/>
  <c r="AB412" i="10"/>
  <c r="M261" i="10"/>
  <c r="M299" i="10"/>
  <c r="W162" i="10"/>
  <c r="X179" i="10"/>
  <c r="X256" i="10"/>
  <c r="X298" i="10"/>
  <c r="X380" i="10"/>
  <c r="X410" i="10"/>
  <c r="X402" i="10"/>
  <c r="O354" i="10"/>
  <c r="Z190" i="10"/>
  <c r="Z332" i="10"/>
  <c r="Z338" i="10"/>
  <c r="Z351" i="10"/>
  <c r="Z376" i="10"/>
  <c r="Z380" i="10"/>
  <c r="X86" i="10"/>
  <c r="K164" i="10"/>
  <c r="X175" i="10"/>
  <c r="X255" i="10"/>
  <c r="X294" i="10"/>
  <c r="X369" i="10"/>
  <c r="X389" i="10"/>
  <c r="X418" i="10"/>
  <c r="X409" i="10"/>
  <c r="AB199" i="10"/>
  <c r="AB186" i="10"/>
  <c r="AB418" i="10"/>
  <c r="AB409" i="10"/>
  <c r="P3" i="10"/>
  <c r="K430" i="10"/>
  <c r="K384" i="10"/>
  <c r="AA216" i="10"/>
  <c r="AA372" i="10"/>
  <c r="Y216" i="10"/>
  <c r="Z182" i="10"/>
  <c r="Z221" i="10"/>
  <c r="X332" i="10"/>
  <c r="X372" i="10"/>
  <c r="AA182" i="10"/>
  <c r="AA262" i="10"/>
  <c r="AA297" i="10"/>
  <c r="AA287" i="10"/>
  <c r="Y213" i="10"/>
  <c r="Y218" i="10"/>
  <c r="Y294" i="10"/>
  <c r="Y300" i="10"/>
  <c r="Z151" i="10"/>
  <c r="Z224" i="10"/>
  <c r="Z324" i="10"/>
  <c r="Z325" i="10"/>
  <c r="Z412" i="10"/>
  <c r="Z418" i="10"/>
  <c r="AB216" i="10"/>
  <c r="AB175" i="10"/>
  <c r="AB402" i="10"/>
  <c r="AB410" i="10"/>
  <c r="M296" i="10"/>
  <c r="AB182" i="10"/>
  <c r="AA223" i="10"/>
  <c r="K270" i="10"/>
  <c r="M218" i="10"/>
  <c r="M295" i="10"/>
  <c r="AA295" i="10"/>
  <c r="Y258" i="10"/>
  <c r="Y304" i="10"/>
  <c r="P202" i="10"/>
  <c r="X199" i="10"/>
  <c r="X335" i="10"/>
  <c r="X351" i="10"/>
  <c r="X370" i="10"/>
  <c r="W199" i="10"/>
  <c r="W175" i="10"/>
  <c r="W259" i="10"/>
  <c r="W294" i="10"/>
  <c r="W262" i="10"/>
  <c r="W257" i="10"/>
  <c r="W372" i="10"/>
  <c r="W335" i="10"/>
  <c r="X63" i="10"/>
  <c r="AA220" i="10"/>
  <c r="Y220" i="10"/>
  <c r="Y224" i="10"/>
  <c r="Y295" i="10"/>
  <c r="M109" i="10"/>
  <c r="Z101" i="10"/>
  <c r="W182" i="10"/>
  <c r="W256" i="10"/>
  <c r="W172" i="10"/>
  <c r="W275" i="10"/>
  <c r="W299" i="10"/>
  <c r="W410" i="10"/>
  <c r="W371" i="10"/>
  <c r="AB372" i="10"/>
  <c r="AA332" i="10"/>
  <c r="P278" i="10"/>
  <c r="AA151" i="10"/>
  <c r="AB224" i="10"/>
  <c r="AA294" i="10"/>
  <c r="Z175" i="10"/>
  <c r="AA113" i="10"/>
  <c r="K401" i="10"/>
  <c r="K354" i="10"/>
  <c r="AA224" i="10"/>
  <c r="AA221" i="10"/>
  <c r="AA296" i="10"/>
  <c r="AA258" i="10"/>
  <c r="Z220" i="10"/>
  <c r="O87" i="10"/>
  <c r="W217" i="10"/>
  <c r="W333" i="10"/>
  <c r="W376" i="10"/>
  <c r="O392" i="10"/>
  <c r="Q87" i="10"/>
  <c r="Y87" i="10" s="1"/>
  <c r="Z86" i="10"/>
  <c r="Z80" i="10"/>
  <c r="Q7" i="10"/>
  <c r="Q270" i="10"/>
  <c r="Y269" i="10"/>
  <c r="Q363" i="10"/>
  <c r="Y363" i="10" s="1"/>
  <c r="Y362" i="10"/>
  <c r="L308" i="10"/>
  <c r="M307" i="10"/>
  <c r="AA312" i="10"/>
  <c r="Y180" i="10"/>
  <c r="AS182" i="10"/>
  <c r="Y248" i="10"/>
  <c r="Q208" i="10"/>
  <c r="M208" i="10"/>
  <c r="Z342" i="10"/>
  <c r="Z388" i="10"/>
  <c r="R391" i="10"/>
  <c r="Q94" i="10"/>
  <c r="M94" i="10"/>
  <c r="X193" i="10"/>
  <c r="P194" i="10"/>
  <c r="X286" i="10"/>
  <c r="P384" i="10"/>
  <c r="X383" i="10"/>
  <c r="X324" i="10"/>
  <c r="X337" i="10"/>
  <c r="S126" i="10"/>
  <c r="AA121" i="10"/>
  <c r="W223" i="10"/>
  <c r="W383" i="10"/>
  <c r="O384" i="10"/>
  <c r="W334" i="10"/>
  <c r="W374" i="10"/>
  <c r="W388" i="10"/>
  <c r="O391" i="10"/>
  <c r="AA75" i="10"/>
  <c r="S77" i="10"/>
  <c r="U405" i="10"/>
  <c r="U417" i="10"/>
  <c r="U419" i="10" s="1"/>
  <c r="U420" i="10" s="1"/>
  <c r="AB185" i="10"/>
  <c r="T384" i="10"/>
  <c r="AB383" i="10"/>
  <c r="O89" i="10"/>
  <c r="K429" i="10"/>
  <c r="L277" i="10"/>
  <c r="M274" i="10"/>
  <c r="K239" i="10"/>
  <c r="M297" i="10"/>
  <c r="Z163" i="10"/>
  <c r="S194" i="10"/>
  <c r="AA193" i="10"/>
  <c r="S189" i="10"/>
  <c r="AA187" i="10"/>
  <c r="S177" i="10"/>
  <c r="AA333" i="10"/>
  <c r="AA337" i="10"/>
  <c r="AA400" i="10"/>
  <c r="S401" i="10"/>
  <c r="AA350" i="10"/>
  <c r="Y223" i="10"/>
  <c r="Y249" i="10"/>
  <c r="Y274" i="10"/>
  <c r="Q277" i="10"/>
  <c r="Q303" i="10"/>
  <c r="Y301" i="10"/>
  <c r="Q291" i="10"/>
  <c r="Q315" i="10"/>
  <c r="Y312" i="10"/>
  <c r="Q367" i="10"/>
  <c r="Y367" i="10" s="1"/>
  <c r="Y377" i="10"/>
  <c r="Q379" i="10"/>
  <c r="Q405" i="10"/>
  <c r="Y405" i="10" s="1"/>
  <c r="Q417" i="10"/>
  <c r="Y415" i="10"/>
  <c r="Q401" i="10"/>
  <c r="Y401" i="10" s="1"/>
  <c r="Y400" i="10"/>
  <c r="R88" i="10"/>
  <c r="Z83" i="10"/>
  <c r="Q322" i="10"/>
  <c r="M322" i="10"/>
  <c r="Q360" i="10"/>
  <c r="M360" i="10"/>
  <c r="Z172" i="10"/>
  <c r="Z226" i="10"/>
  <c r="Z183" i="10"/>
  <c r="Z199" i="10"/>
  <c r="Z336" i="10"/>
  <c r="Z350" i="10"/>
  <c r="R353" i="10"/>
  <c r="R346" i="10"/>
  <c r="Z345" i="10"/>
  <c r="Z427" i="10"/>
  <c r="Z407" i="10"/>
  <c r="Z426" i="10"/>
  <c r="R429" i="10"/>
  <c r="M147" i="10"/>
  <c r="M142" i="10"/>
  <c r="Y156" i="10"/>
  <c r="X287" i="10"/>
  <c r="P270" i="10"/>
  <c r="X269" i="10"/>
  <c r="X262" i="10"/>
  <c r="X238" i="10"/>
  <c r="X236" i="10"/>
  <c r="P315" i="10"/>
  <c r="X312" i="10"/>
  <c r="X296" i="10"/>
  <c r="X338" i="10"/>
  <c r="X373" i="10"/>
  <c r="X407" i="10"/>
  <c r="X426" i="10"/>
  <c r="X427" i="10"/>
  <c r="S154" i="10"/>
  <c r="M106" i="10"/>
  <c r="T77" i="10"/>
  <c r="AB75" i="10"/>
  <c r="W226" i="10"/>
  <c r="W193" i="10"/>
  <c r="O194" i="10"/>
  <c r="O189" i="10"/>
  <c r="W187" i="10"/>
  <c r="O177" i="10"/>
  <c r="W263" i="10"/>
  <c r="O265" i="10"/>
  <c r="O253" i="10"/>
  <c r="AT180" i="10"/>
  <c r="W179" i="10"/>
  <c r="W220" i="10"/>
  <c r="W221" i="10"/>
  <c r="W369" i="10"/>
  <c r="W336" i="10"/>
  <c r="O341" i="10"/>
  <c r="O329" i="10"/>
  <c r="W339" i="10"/>
  <c r="W407" i="10"/>
  <c r="W408" i="10"/>
  <c r="W414" i="10"/>
  <c r="S165" i="10"/>
  <c r="AB198" i="10"/>
  <c r="AB183" i="10"/>
  <c r="AB213" i="10"/>
  <c r="AB218" i="10"/>
  <c r="AB377" i="10"/>
  <c r="T379" i="10"/>
  <c r="T367" i="10"/>
  <c r="AB375" i="10"/>
  <c r="T422" i="10"/>
  <c r="AB421" i="10"/>
  <c r="AB407" i="10"/>
  <c r="AB63" i="10"/>
  <c r="R3" i="10"/>
  <c r="R127" i="10"/>
  <c r="L232" i="10"/>
  <c r="M231" i="10"/>
  <c r="AA383" i="10"/>
  <c r="S384" i="10"/>
  <c r="M410" i="10"/>
  <c r="M407" i="10"/>
  <c r="M412" i="10"/>
  <c r="M427" i="10"/>
  <c r="M409" i="10"/>
  <c r="M414" i="10"/>
  <c r="M411" i="10"/>
  <c r="M408" i="10"/>
  <c r="M413" i="10"/>
  <c r="M418" i="10"/>
  <c r="AA375" i="10"/>
  <c r="Y200" i="10"/>
  <c r="Y198" i="10"/>
  <c r="Q341" i="10"/>
  <c r="Y339" i="10"/>
  <c r="Q329" i="10"/>
  <c r="Y329" i="10" s="1"/>
  <c r="Y426" i="10"/>
  <c r="Y428" i="10"/>
  <c r="L113" i="10"/>
  <c r="L101" i="10"/>
  <c r="M111" i="10"/>
  <c r="Z274" i="10"/>
  <c r="Z276" i="10"/>
  <c r="Z236" i="10"/>
  <c r="Z337" i="10"/>
  <c r="AA80" i="10"/>
  <c r="S3" i="10"/>
  <c r="S81" i="10"/>
  <c r="M155" i="10"/>
  <c r="X263" i="10"/>
  <c r="P265" i="10"/>
  <c r="P253" i="10"/>
  <c r="K405" i="10"/>
  <c r="K417" i="10"/>
  <c r="K419" i="10" s="1"/>
  <c r="K420" i="10" s="1"/>
  <c r="K315" i="10"/>
  <c r="K291" i="10"/>
  <c r="K303" i="10"/>
  <c r="K305" i="10" s="1"/>
  <c r="K306" i="10" s="1"/>
  <c r="M298" i="10"/>
  <c r="X162" i="10"/>
  <c r="AB162" i="10"/>
  <c r="AA218" i="10"/>
  <c r="AA260" i="10"/>
  <c r="AA313" i="10"/>
  <c r="S227" i="10"/>
  <c r="AA225" i="10"/>
  <c r="S215" i="10"/>
  <c r="AA249" i="10"/>
  <c r="S308" i="10"/>
  <c r="AA307" i="10"/>
  <c r="S346" i="10"/>
  <c r="AA345" i="10"/>
  <c r="AA414" i="10"/>
  <c r="AA427" i="10"/>
  <c r="Q215" i="10"/>
  <c r="Q227" i="10"/>
  <c r="Y225" i="10"/>
  <c r="AS188" i="10"/>
  <c r="Y190" i="10"/>
  <c r="Y293" i="10"/>
  <c r="Y313" i="10"/>
  <c r="AB80" i="10"/>
  <c r="T81" i="10"/>
  <c r="Z185" i="10"/>
  <c r="R265" i="10"/>
  <c r="Z263" i="10"/>
  <c r="R253" i="10"/>
  <c r="Z253" i="10" s="1"/>
  <c r="R232" i="10"/>
  <c r="Z231" i="10"/>
  <c r="Z312" i="10"/>
  <c r="Z314" i="10"/>
  <c r="Z414" i="10"/>
  <c r="R363" i="10"/>
  <c r="Z362" i="10"/>
  <c r="R405" i="10"/>
  <c r="R417" i="10"/>
  <c r="Z415" i="10"/>
  <c r="R401" i="10"/>
  <c r="Z400" i="10"/>
  <c r="M102" i="10"/>
  <c r="X172" i="10"/>
  <c r="X180" i="10"/>
  <c r="X225" i="10"/>
  <c r="P215" i="10"/>
  <c r="X215" i="10" s="1"/>
  <c r="P227" i="10"/>
  <c r="X182" i="10"/>
  <c r="X371" i="10"/>
  <c r="X297" i="10"/>
  <c r="X331" i="10"/>
  <c r="X339" i="10"/>
  <c r="P341" i="10"/>
  <c r="P329" i="10"/>
  <c r="P367" i="10"/>
  <c r="P379" i="10"/>
  <c r="X377" i="10"/>
  <c r="P405" i="10"/>
  <c r="P417" i="10"/>
  <c r="X415" i="10"/>
  <c r="P401" i="10"/>
  <c r="X400" i="10"/>
  <c r="R125" i="10"/>
  <c r="AT181" i="10"/>
  <c r="W178" i="10"/>
  <c r="W261" i="10"/>
  <c r="W198" i="10"/>
  <c r="O201" i="10"/>
  <c r="O270" i="10"/>
  <c r="W269" i="10"/>
  <c r="W295" i="10"/>
  <c r="W293" i="10"/>
  <c r="W237" i="10"/>
  <c r="W228" i="10"/>
  <c r="W380" i="10"/>
  <c r="W338" i="10"/>
  <c r="W373" i="10"/>
  <c r="W418" i="10"/>
  <c r="W409" i="10"/>
  <c r="U422" i="10"/>
  <c r="O126" i="10"/>
  <c r="W121" i="10"/>
  <c r="R165" i="10"/>
  <c r="AB223" i="10"/>
  <c r="AB190" i="10"/>
  <c r="AB221" i="10"/>
  <c r="AB237" i="10"/>
  <c r="AB228" i="10"/>
  <c r="AB380" i="10"/>
  <c r="AB400" i="10"/>
  <c r="T401" i="10"/>
  <c r="T391" i="10"/>
  <c r="AB388" i="10"/>
  <c r="T405" i="10"/>
  <c r="T417" i="10"/>
  <c r="AB415" i="10"/>
  <c r="AB113" i="10"/>
  <c r="R81" i="10"/>
  <c r="P164" i="10"/>
  <c r="Z164" i="10" s="1"/>
  <c r="X159" i="10"/>
  <c r="AB159" i="10"/>
  <c r="S405" i="10"/>
  <c r="S417" i="10"/>
  <c r="AA415" i="10"/>
  <c r="Q170" i="10"/>
  <c r="M170" i="10"/>
  <c r="M389" i="10"/>
  <c r="M376" i="10"/>
  <c r="M372" i="10"/>
  <c r="M375" i="10"/>
  <c r="M371" i="10"/>
  <c r="M373" i="10"/>
  <c r="M369" i="10"/>
  <c r="M380" i="10"/>
  <c r="M374" i="10"/>
  <c r="M370" i="10"/>
  <c r="M223" i="10"/>
  <c r="AA181" i="10"/>
  <c r="AA183" i="10"/>
  <c r="AR185" i="10"/>
  <c r="AA286" i="10"/>
  <c r="Y260" i="10"/>
  <c r="M256" i="10"/>
  <c r="Y163" i="10"/>
  <c r="P157" i="10"/>
  <c r="X156" i="10"/>
  <c r="P7" i="10"/>
  <c r="AA261" i="10"/>
  <c r="AA231" i="10"/>
  <c r="S232" i="10"/>
  <c r="S363" i="10"/>
  <c r="AA362" i="10"/>
  <c r="AA408" i="10"/>
  <c r="Y183" i="10"/>
  <c r="AS185" i="10"/>
  <c r="Y226" i="10"/>
  <c r="Y345" i="10"/>
  <c r="Q346" i="10"/>
  <c r="Z75" i="10"/>
  <c r="R77" i="10"/>
  <c r="Z181" i="10"/>
  <c r="R227" i="10"/>
  <c r="R215" i="10"/>
  <c r="Z225" i="10"/>
  <c r="Z331" i="10"/>
  <c r="Q126" i="10"/>
  <c r="Y121" i="10"/>
  <c r="Z121" i="10"/>
  <c r="X178" i="10"/>
  <c r="X248" i="10"/>
  <c r="X274" i="10"/>
  <c r="P277" i="10"/>
  <c r="O277" i="10"/>
  <c r="W274" i="10"/>
  <c r="O291" i="10"/>
  <c r="O303" i="10"/>
  <c r="W301" i="10"/>
  <c r="W248" i="10"/>
  <c r="W362" i="10"/>
  <c r="O363" i="10"/>
  <c r="W426" i="10"/>
  <c r="O429" i="10"/>
  <c r="W427" i="10"/>
  <c r="P119" i="10"/>
  <c r="P4" i="10"/>
  <c r="X118" i="10"/>
  <c r="Z159" i="10"/>
  <c r="T189" i="10"/>
  <c r="AB187" i="10"/>
  <c r="T177" i="10"/>
  <c r="T232" i="10"/>
  <c r="AB231" i="10"/>
  <c r="AB426" i="10"/>
  <c r="T429" i="10"/>
  <c r="M262" i="10"/>
  <c r="M300" i="10"/>
  <c r="AB163" i="10"/>
  <c r="Y162" i="10"/>
  <c r="AA178" i="10"/>
  <c r="AR181" i="10"/>
  <c r="AA248" i="10"/>
  <c r="S253" i="10"/>
  <c r="S265" i="10"/>
  <c r="AA263" i="10"/>
  <c r="Q232" i="10"/>
  <c r="Y231" i="10"/>
  <c r="Q384" i="10"/>
  <c r="Y383" i="10"/>
  <c r="Y352" i="10"/>
  <c r="Y350" i="10"/>
  <c r="Y421" i="10"/>
  <c r="Q422" i="10"/>
  <c r="W163" i="10"/>
  <c r="L118" i="10"/>
  <c r="M117" i="10"/>
  <c r="Q246" i="10"/>
  <c r="M246" i="10"/>
  <c r="M284" i="10"/>
  <c r="Q284" i="10"/>
  <c r="R189" i="10"/>
  <c r="Z187" i="10"/>
  <c r="R177" i="10"/>
  <c r="Z218" i="10"/>
  <c r="R270" i="10"/>
  <c r="Z269" i="10"/>
  <c r="R329" i="10"/>
  <c r="Z339" i="10"/>
  <c r="R341" i="10"/>
  <c r="Z335" i="10"/>
  <c r="Z375" i="10"/>
  <c r="Z409" i="10"/>
  <c r="Z364" i="10"/>
  <c r="Z373" i="10"/>
  <c r="Z413" i="10"/>
  <c r="Z411" i="10"/>
  <c r="Y75" i="10"/>
  <c r="Q77" i="10"/>
  <c r="W77" i="10" s="1"/>
  <c r="K163" i="10"/>
  <c r="X185" i="10"/>
  <c r="X183" i="10"/>
  <c r="X226" i="10"/>
  <c r="X258" i="10"/>
  <c r="X304" i="10"/>
  <c r="X260" i="10"/>
  <c r="X299" i="10"/>
  <c r="X333" i="10"/>
  <c r="X376" i="10"/>
  <c r="X413" i="10"/>
  <c r="X411" i="10"/>
  <c r="O154" i="10"/>
  <c r="AA118" i="10"/>
  <c r="S119" i="10"/>
  <c r="S4" i="10"/>
  <c r="W183" i="10"/>
  <c r="AT185" i="10"/>
  <c r="W258" i="10"/>
  <c r="W185" i="10"/>
  <c r="W225" i="10"/>
  <c r="O227" i="10"/>
  <c r="O215" i="10"/>
  <c r="W296" i="10"/>
  <c r="W304" i="10"/>
  <c r="W287" i="10"/>
  <c r="W351" i="10"/>
  <c r="W364" i="10"/>
  <c r="W375" i="10"/>
  <c r="O401" i="10"/>
  <c r="W400" i="10"/>
  <c r="W389" i="10"/>
  <c r="O119" i="10"/>
  <c r="W118" i="10"/>
  <c r="O4" i="10"/>
  <c r="AA163" i="10"/>
  <c r="X151" i="10"/>
  <c r="P153" i="10"/>
  <c r="W153" i="10" s="1"/>
  <c r="Y151" i="10"/>
  <c r="AB180" i="10"/>
  <c r="AB172" i="10"/>
  <c r="AB220" i="10"/>
  <c r="AB226" i="10"/>
  <c r="AB408" i="10"/>
  <c r="AB411" i="10"/>
  <c r="AB413" i="10"/>
  <c r="P89" i="10"/>
  <c r="O78" i="10"/>
  <c r="K227" i="10"/>
  <c r="K229" i="10" s="1"/>
  <c r="K230" i="10" s="1"/>
  <c r="K215" i="10"/>
  <c r="AA179" i="10"/>
  <c r="AR180" i="10"/>
  <c r="AA377" i="10"/>
  <c r="S379" i="10"/>
  <c r="S367" i="10"/>
  <c r="Y178" i="10"/>
  <c r="AS181" i="10"/>
  <c r="M342" i="10"/>
  <c r="M338" i="10"/>
  <c r="M337" i="10"/>
  <c r="M336" i="10"/>
  <c r="M335" i="10"/>
  <c r="M334" i="10"/>
  <c r="M333" i="10"/>
  <c r="M332" i="10"/>
  <c r="M331" i="10"/>
  <c r="M351" i="10"/>
  <c r="M269" i="10"/>
  <c r="K139" i="10"/>
  <c r="K151" i="10"/>
  <c r="K153" i="10" s="1"/>
  <c r="K154" i="10" s="1"/>
  <c r="AA388" i="10"/>
  <c r="S391" i="10"/>
  <c r="Y187" i="10"/>
  <c r="Q177" i="10"/>
  <c r="Q189" i="10"/>
  <c r="K379" i="10"/>
  <c r="K381" i="10" s="1"/>
  <c r="K382" i="10" s="1"/>
  <c r="K367" i="10"/>
  <c r="M312" i="10"/>
  <c r="AA190" i="10"/>
  <c r="AR188" i="10"/>
  <c r="AA236" i="10"/>
  <c r="S329" i="10"/>
  <c r="AA339" i="10"/>
  <c r="S341" i="10"/>
  <c r="Y236" i="10"/>
  <c r="Y193" i="10"/>
  <c r="Q194" i="10"/>
  <c r="M124" i="10"/>
  <c r="M122" i="10"/>
  <c r="X181" i="10"/>
  <c r="X293" i="10"/>
  <c r="P126" i="10"/>
  <c r="X121" i="10"/>
  <c r="W266" i="10"/>
  <c r="O367" i="10"/>
  <c r="O379" i="10"/>
  <c r="W377" i="10"/>
  <c r="AB225" i="10"/>
  <c r="T215" i="10"/>
  <c r="T227" i="10"/>
  <c r="K341" i="10"/>
  <c r="K343" i="10" s="1"/>
  <c r="K344" i="10" s="1"/>
  <c r="K329" i="10"/>
  <c r="K422" i="10"/>
  <c r="M259" i="10"/>
  <c r="M255" i="10"/>
  <c r="M258" i="10"/>
  <c r="M225" i="10"/>
  <c r="L215" i="10"/>
  <c r="L227" i="10"/>
  <c r="M226" i="10"/>
  <c r="M313" i="10"/>
  <c r="M293" i="10"/>
  <c r="L291" i="10"/>
  <c r="M301" i="10"/>
  <c r="L303" i="10"/>
  <c r="Z162" i="10"/>
  <c r="AA198" i="10"/>
  <c r="AA266" i="10"/>
  <c r="AA342" i="10"/>
  <c r="AA376" i="10"/>
  <c r="AA373" i="10"/>
  <c r="AA407" i="10"/>
  <c r="AA426" i="10"/>
  <c r="S429" i="10"/>
  <c r="Y179" i="10"/>
  <c r="AS180" i="10"/>
  <c r="Q265" i="10"/>
  <c r="Y263" i="10"/>
  <c r="Q253" i="10"/>
  <c r="Y307" i="10"/>
  <c r="Q308" i="10"/>
  <c r="Y266" i="10"/>
  <c r="Y388" i="10"/>
  <c r="Y390" i="10"/>
  <c r="R154" i="10"/>
  <c r="P115" i="10"/>
  <c r="X113" i="10"/>
  <c r="M398" i="10"/>
  <c r="Q398" i="10"/>
  <c r="Z178" i="10"/>
  <c r="Z213" i="10"/>
  <c r="Z198" i="10"/>
  <c r="Z334" i="10"/>
  <c r="Z372" i="10"/>
  <c r="Z377" i="10"/>
  <c r="R379" i="10"/>
  <c r="R367" i="10"/>
  <c r="Z421" i="10"/>
  <c r="R422" i="10"/>
  <c r="O157" i="10"/>
  <c r="W156" i="10"/>
  <c r="O7" i="10"/>
  <c r="M148" i="10"/>
  <c r="AB121" i="10"/>
  <c r="T126" i="10"/>
  <c r="K156" i="10"/>
  <c r="X186" i="10"/>
  <c r="X249" i="10"/>
  <c r="X198" i="10"/>
  <c r="X275" i="10"/>
  <c r="X313" i="10"/>
  <c r="X295" i="10"/>
  <c r="X300" i="10"/>
  <c r="X334" i="10"/>
  <c r="X350" i="10"/>
  <c r="X412" i="10"/>
  <c r="X421" i="10"/>
  <c r="P422" i="10"/>
  <c r="W216" i="10"/>
  <c r="W210" i="10"/>
  <c r="W186" i="10"/>
  <c r="W236" i="10"/>
  <c r="W213" i="10"/>
  <c r="W298" i="10"/>
  <c r="W313" i="10"/>
  <c r="W300" i="10"/>
  <c r="W286" i="10"/>
  <c r="W342" i="10"/>
  <c r="O346" i="10"/>
  <c r="W345" i="10"/>
  <c r="W325" i="10"/>
  <c r="W415" i="10"/>
  <c r="O405" i="10"/>
  <c r="O417" i="10"/>
  <c r="W402" i="10"/>
  <c r="W412" i="10"/>
  <c r="AB86" i="10"/>
  <c r="AA162" i="10"/>
  <c r="Q119" i="10"/>
  <c r="Y118" i="10"/>
  <c r="Q4" i="10"/>
  <c r="AB193" i="10"/>
  <c r="T194" i="10"/>
  <c r="AB181" i="10"/>
  <c r="AB178" i="10"/>
  <c r="AB236" i="10"/>
  <c r="AB389" i="10"/>
  <c r="T363" i="10"/>
  <c r="AB362" i="10"/>
  <c r="AB364" i="10"/>
  <c r="AB414" i="10"/>
  <c r="T87" i="10"/>
  <c r="AA86" i="10"/>
  <c r="P78" i="10"/>
  <c r="T89" i="10"/>
  <c r="S89" i="10"/>
  <c r="AA156" i="10"/>
  <c r="S157" i="10"/>
  <c r="S7" i="10"/>
  <c r="Y159" i="10"/>
  <c r="AA226" i="10"/>
  <c r="AA274" i="10"/>
  <c r="R194" i="10"/>
  <c r="Z193" i="10"/>
  <c r="R308" i="10"/>
  <c r="Z307" i="10"/>
  <c r="Z374" i="10"/>
  <c r="M160" i="10"/>
  <c r="X231" i="10"/>
  <c r="P232" i="10"/>
  <c r="X307" i="10"/>
  <c r="P308" i="10"/>
  <c r="X345" i="10"/>
  <c r="P346" i="10"/>
  <c r="X342" i="10"/>
  <c r="X301" i="10"/>
  <c r="P303" i="10"/>
  <c r="P291" i="10"/>
  <c r="X388" i="10"/>
  <c r="R119" i="10"/>
  <c r="R4" i="10"/>
  <c r="Z118" i="10"/>
  <c r="W180" i="10"/>
  <c r="AT182" i="10"/>
  <c r="W260" i="10"/>
  <c r="W249" i="10"/>
  <c r="W312" i="10"/>
  <c r="W324" i="10"/>
  <c r="W413" i="10"/>
  <c r="W411" i="10"/>
  <c r="W159" i="10"/>
  <c r="AB373" i="10"/>
  <c r="AB374" i="10"/>
  <c r="K363" i="10"/>
  <c r="K346" i="10"/>
  <c r="K253" i="10"/>
  <c r="K265" i="10"/>
  <c r="K267" i="10" s="1"/>
  <c r="K268" i="10" s="1"/>
  <c r="M236" i="10"/>
  <c r="M238" i="10"/>
  <c r="Q115" i="10"/>
  <c r="Y113" i="10"/>
  <c r="AA185" i="10"/>
  <c r="AR182" i="10"/>
  <c r="AA180" i="10"/>
  <c r="AA269" i="10"/>
  <c r="S270" i="10"/>
  <c r="AA213" i="10"/>
  <c r="AA293" i="10"/>
  <c r="AA331" i="10"/>
  <c r="AA301" i="10"/>
  <c r="S303" i="10"/>
  <c r="S291" i="10"/>
  <c r="AA402" i="10"/>
  <c r="AA324" i="10"/>
  <c r="AA421" i="10"/>
  <c r="S422" i="10"/>
  <c r="AA380" i="10"/>
  <c r="AA410" i="10"/>
  <c r="Y286" i="10"/>
  <c r="Y297" i="10"/>
  <c r="M112" i="10"/>
  <c r="M132" i="10"/>
  <c r="Q132" i="10"/>
  <c r="Z179" i="10"/>
  <c r="Z180" i="10"/>
  <c r="Z301" i="10"/>
  <c r="R291" i="10"/>
  <c r="Z291" i="10" s="1"/>
  <c r="R303" i="10"/>
  <c r="Z223" i="10"/>
  <c r="Z333" i="10"/>
  <c r="Z371" i="10"/>
  <c r="R384" i="10"/>
  <c r="Z383" i="10"/>
  <c r="Z408" i="10"/>
  <c r="Z156" i="10"/>
  <c r="R7" i="10"/>
  <c r="R157" i="10"/>
  <c r="M152" i="10"/>
  <c r="W113" i="10"/>
  <c r="O115" i="10"/>
  <c r="X190" i="10"/>
  <c r="X266" i="10"/>
  <c r="P189" i="10"/>
  <c r="X187" i="10"/>
  <c r="P177" i="10"/>
  <c r="X261" i="10"/>
  <c r="X259" i="10"/>
  <c r="X325" i="10"/>
  <c r="X375" i="10"/>
  <c r="X364" i="10"/>
  <c r="X336" i="10"/>
  <c r="X362" i="10"/>
  <c r="P363" i="10"/>
  <c r="X374" i="10"/>
  <c r="X408" i="10"/>
  <c r="X414" i="10"/>
  <c r="Y83" i="10"/>
  <c r="Q88" i="10"/>
  <c r="Q81" i="10"/>
  <c r="Q3" i="10"/>
  <c r="Y80" i="10"/>
  <c r="W181" i="10"/>
  <c r="W218" i="10"/>
  <c r="W297" i="10"/>
  <c r="AT188" i="10"/>
  <c r="W190" i="10"/>
  <c r="O232" i="10"/>
  <c r="W231" i="10"/>
  <c r="W224" i="10"/>
  <c r="W255" i="10"/>
  <c r="W337" i="10"/>
  <c r="W350" i="10"/>
  <c r="W307" i="10"/>
  <c r="O308" i="10"/>
  <c r="W332" i="10"/>
  <c r="W331" i="10"/>
  <c r="W370" i="10"/>
  <c r="O422" i="10"/>
  <c r="W421" i="10"/>
  <c r="U429" i="10"/>
  <c r="AB101" i="10"/>
  <c r="Y101" i="10"/>
  <c r="Y63" i="10"/>
  <c r="W63" i="10"/>
  <c r="AB179" i="10"/>
  <c r="AB217" i="10"/>
  <c r="AB210" i="10"/>
  <c r="AB369" i="10"/>
  <c r="AB376" i="10"/>
  <c r="AB427" i="10"/>
  <c r="AA101" i="10"/>
  <c r="W83" i="10"/>
  <c r="X75" i="10"/>
  <c r="X80" i="10"/>
  <c r="AB83" i="10"/>
  <c r="AA83" i="10"/>
  <c r="M66" i="10" l="1"/>
  <c r="Y273" i="10"/>
  <c r="M101" i="10"/>
  <c r="K279" i="10"/>
  <c r="M311" i="10"/>
  <c r="M64" i="10"/>
  <c r="M85" i="10"/>
  <c r="K87" i="10"/>
  <c r="Z125" i="10"/>
  <c r="AB125" i="10"/>
  <c r="M65" i="10"/>
  <c r="K202" i="10"/>
  <c r="K203" i="10" s="1"/>
  <c r="K189" i="10"/>
  <c r="K191" i="10" s="1"/>
  <c r="K192" i="10" s="1"/>
  <c r="M68" i="10"/>
  <c r="M79" i="10"/>
  <c r="M74" i="10"/>
  <c r="M84" i="10"/>
  <c r="M67" i="10"/>
  <c r="M71" i="10"/>
  <c r="M69" i="10"/>
  <c r="M182" i="10"/>
  <c r="M72" i="10"/>
  <c r="M61" i="10"/>
  <c r="K80" i="10"/>
  <c r="K63" i="10"/>
  <c r="K75" i="10"/>
  <c r="K77" i="10" s="1"/>
  <c r="K78" i="10" s="1"/>
  <c r="K88" i="10"/>
  <c r="K89" i="10" s="1"/>
  <c r="M76" i="10"/>
  <c r="M186" i="10"/>
  <c r="M178" i="10"/>
  <c r="K201" i="10"/>
  <c r="K194" i="10"/>
  <c r="M199" i="10"/>
  <c r="M179" i="10"/>
  <c r="M185" i="10"/>
  <c r="M193" i="10"/>
  <c r="M181" i="10"/>
  <c r="M183" i="10"/>
  <c r="M190" i="10"/>
  <c r="M180" i="10"/>
  <c r="M200" i="10"/>
  <c r="K177" i="10"/>
  <c r="K11" i="10"/>
  <c r="AB363" i="10"/>
  <c r="Q392" i="10"/>
  <c r="W392" i="10" s="1"/>
  <c r="K309" i="10"/>
  <c r="K9" i="10"/>
  <c r="AA125" i="10"/>
  <c r="AB387" i="10"/>
  <c r="W125" i="10"/>
  <c r="W401" i="10"/>
  <c r="X125" i="10"/>
  <c r="X311" i="10"/>
  <c r="Z311" i="10"/>
  <c r="X197" i="10"/>
  <c r="K8" i="10"/>
  <c r="K233" i="10"/>
  <c r="K355" i="10"/>
  <c r="W314" i="10"/>
  <c r="P316" i="10"/>
  <c r="X316" i="10" s="1"/>
  <c r="T392" i="10"/>
  <c r="T393" i="10" s="1"/>
  <c r="W311" i="10"/>
  <c r="W405" i="10"/>
  <c r="Y253" i="10"/>
  <c r="L316" i="10"/>
  <c r="L317" i="10" s="1"/>
  <c r="L253" i="10"/>
  <c r="M253" i="10" s="1"/>
  <c r="K119" i="10"/>
  <c r="U423" i="10"/>
  <c r="K4" i="10"/>
  <c r="X200" i="10"/>
  <c r="AA200" i="10"/>
  <c r="X363" i="10"/>
  <c r="W387" i="10"/>
  <c r="Z200" i="10"/>
  <c r="W363" i="10"/>
  <c r="K385" i="10"/>
  <c r="K165" i="10"/>
  <c r="K271" i="10"/>
  <c r="M162" i="10"/>
  <c r="X390" i="10"/>
  <c r="M425" i="10"/>
  <c r="Z153" i="10"/>
  <c r="AA253" i="10"/>
  <c r="Z363" i="10"/>
  <c r="L151" i="10"/>
  <c r="L153" i="10" s="1"/>
  <c r="L154" i="10" s="1"/>
  <c r="AB87" i="10"/>
  <c r="W197" i="10"/>
  <c r="L139" i="10"/>
  <c r="M139" i="10" s="1"/>
  <c r="Z329" i="10"/>
  <c r="M291" i="10"/>
  <c r="AA363" i="10"/>
  <c r="Z401" i="10"/>
  <c r="L265" i="10"/>
  <c r="M265" i="10" s="1"/>
  <c r="AA349" i="10"/>
  <c r="Y164" i="10"/>
  <c r="L270" i="10"/>
  <c r="AB238" i="10"/>
  <c r="AA238" i="10"/>
  <c r="Y311" i="10"/>
  <c r="W238" i="10"/>
  <c r="AA87" i="10"/>
  <c r="M387" i="10"/>
  <c r="X87" i="10"/>
  <c r="O202" i="10"/>
  <c r="O203" i="10" s="1"/>
  <c r="Y238" i="10"/>
  <c r="X77" i="10"/>
  <c r="Z87" i="10"/>
  <c r="Z238" i="10"/>
  <c r="W352" i="10"/>
  <c r="M314" i="10"/>
  <c r="Z367" i="10"/>
  <c r="W367" i="10"/>
  <c r="X367" i="10"/>
  <c r="L125" i="10"/>
  <c r="M125" i="10" s="1"/>
  <c r="AA367" i="10"/>
  <c r="K317" i="10"/>
  <c r="AA276" i="10"/>
  <c r="R315" i="10"/>
  <c r="Z315" i="10" s="1"/>
  <c r="AB200" i="10"/>
  <c r="P391" i="10"/>
  <c r="AB401" i="10"/>
  <c r="X401" i="10"/>
  <c r="AB367" i="10"/>
  <c r="M215" i="10"/>
  <c r="K277" i="10"/>
  <c r="M277" i="10" s="1"/>
  <c r="Q201" i="10"/>
  <c r="Y201" i="10" s="1"/>
  <c r="O353" i="10"/>
  <c r="Q239" i="10"/>
  <c r="Z215" i="10"/>
  <c r="AA164" i="10"/>
  <c r="W253" i="10"/>
  <c r="L239" i="10"/>
  <c r="M239" i="10" s="1"/>
  <c r="U431" i="10"/>
  <c r="X273" i="10"/>
  <c r="W87" i="10"/>
  <c r="X177" i="10"/>
  <c r="AA273" i="10"/>
  <c r="Q391" i="10"/>
  <c r="Y391" i="10" s="1"/>
  <c r="AB215" i="10"/>
  <c r="Y215" i="10"/>
  <c r="AA215" i="10"/>
  <c r="AB177" i="10"/>
  <c r="W329" i="10"/>
  <c r="AA401" i="10"/>
  <c r="S430" i="10"/>
  <c r="AA425" i="10"/>
  <c r="AA77" i="10"/>
  <c r="S78" i="10"/>
  <c r="P385" i="10"/>
  <c r="X384" i="10"/>
  <c r="P11" i="10"/>
  <c r="P240" i="10"/>
  <c r="X235" i="10"/>
  <c r="R267" i="10"/>
  <c r="Z265" i="10"/>
  <c r="S309" i="10"/>
  <c r="AA308" i="10"/>
  <c r="S9" i="10"/>
  <c r="O430" i="10"/>
  <c r="W425" i="10"/>
  <c r="W115" i="10"/>
  <c r="O116" i="10"/>
  <c r="R271" i="10"/>
  <c r="Z270" i="10"/>
  <c r="R8" i="10"/>
  <c r="P229" i="10"/>
  <c r="X227" i="10"/>
  <c r="T381" i="10"/>
  <c r="AB379" i="10"/>
  <c r="T201" i="10"/>
  <c r="P271" i="10"/>
  <c r="X270" i="10"/>
  <c r="P8" i="10"/>
  <c r="S305" i="10"/>
  <c r="AA303" i="10"/>
  <c r="X291" i="10"/>
  <c r="P233" i="10"/>
  <c r="X232" i="10"/>
  <c r="P6" i="10"/>
  <c r="R201" i="10"/>
  <c r="Q353" i="10"/>
  <c r="Y353" i="10" s="1"/>
  <c r="AB189" i="10"/>
  <c r="T191" i="10"/>
  <c r="M390" i="10"/>
  <c r="M388" i="10"/>
  <c r="AB405" i="10"/>
  <c r="R277" i="10"/>
  <c r="Z277" i="10" s="1"/>
  <c r="O343" i="10"/>
  <c r="W341" i="10"/>
  <c r="X428" i="10"/>
  <c r="Q381" i="10"/>
  <c r="Y379" i="10"/>
  <c r="Y303" i="10"/>
  <c r="Q305" i="10"/>
  <c r="AA177" i="10"/>
  <c r="AR179" i="10"/>
  <c r="X303" i="10"/>
  <c r="P305" i="10"/>
  <c r="O347" i="10"/>
  <c r="W346" i="10"/>
  <c r="O10" i="10"/>
  <c r="P116" i="10"/>
  <c r="X115" i="10"/>
  <c r="AA387" i="10"/>
  <c r="S392" i="10"/>
  <c r="K353" i="10"/>
  <c r="R354" i="10"/>
  <c r="Z349" i="10"/>
  <c r="S381" i="10"/>
  <c r="AA379" i="10"/>
  <c r="P154" i="10"/>
  <c r="W154" i="10" s="1"/>
  <c r="X153" i="10"/>
  <c r="Y153" i="10"/>
  <c r="AB153" i="10"/>
  <c r="Z177" i="10"/>
  <c r="M118" i="10"/>
  <c r="L119" i="10"/>
  <c r="L4" i="10"/>
  <c r="S355" i="10"/>
  <c r="Z227" i="10"/>
  <c r="R229" i="10"/>
  <c r="Y235" i="10"/>
  <c r="Q240" i="10"/>
  <c r="L379" i="10"/>
  <c r="L367" i="10"/>
  <c r="M367" i="10" s="1"/>
  <c r="M377" i="10"/>
  <c r="P165" i="10"/>
  <c r="Y165" i="10" s="1"/>
  <c r="X164" i="10"/>
  <c r="W164" i="10"/>
  <c r="AB164" i="10"/>
  <c r="P419" i="10"/>
  <c r="X417" i="10"/>
  <c r="Z417" i="10"/>
  <c r="R419" i="10"/>
  <c r="S229" i="10"/>
  <c r="AA227" i="10"/>
  <c r="L422" i="10"/>
  <c r="M421" i="10"/>
  <c r="M415" i="10"/>
  <c r="L405" i="10"/>
  <c r="M405" i="10" s="1"/>
  <c r="L417" i="10"/>
  <c r="O267" i="10"/>
  <c r="W265" i="10"/>
  <c r="O240" i="10"/>
  <c r="W235" i="10"/>
  <c r="X314" i="10"/>
  <c r="Y276" i="10"/>
  <c r="AA352" i="10"/>
  <c r="W390" i="10"/>
  <c r="X194" i="10"/>
  <c r="P195" i="10"/>
  <c r="P5" i="10"/>
  <c r="AA314" i="10"/>
  <c r="Q271" i="10"/>
  <c r="Y270" i="10"/>
  <c r="Q8" i="10"/>
  <c r="Y115" i="10"/>
  <c r="Q116" i="10"/>
  <c r="AA115" i="10"/>
  <c r="AB115" i="10"/>
  <c r="Z115" i="10"/>
  <c r="M350" i="10"/>
  <c r="M352" i="10"/>
  <c r="W227" i="10"/>
  <c r="O229" i="10"/>
  <c r="Q430" i="10"/>
  <c r="Y425" i="10"/>
  <c r="T233" i="10"/>
  <c r="AB232" i="10"/>
  <c r="W303" i="10"/>
  <c r="O305" i="10"/>
  <c r="S202" i="10"/>
  <c r="AA197" i="10"/>
  <c r="AA291" i="10"/>
  <c r="O393" i="10"/>
  <c r="K157" i="10"/>
  <c r="K7" i="10"/>
  <c r="Y346" i="10"/>
  <c r="Q347" i="10"/>
  <c r="Q10" i="10"/>
  <c r="T430" i="10"/>
  <c r="AB425" i="10"/>
  <c r="X425" i="10"/>
  <c r="P430" i="10"/>
  <c r="T127" i="10"/>
  <c r="AB126" i="10"/>
  <c r="W276" i="10"/>
  <c r="S233" i="10"/>
  <c r="AA232" i="10"/>
  <c r="S6" i="10"/>
  <c r="AA428" i="10"/>
  <c r="T240" i="10"/>
  <c r="AB235" i="10"/>
  <c r="W316" i="10"/>
  <c r="O317" i="10"/>
  <c r="Y77" i="10"/>
  <c r="Q78" i="10"/>
  <c r="X78" i="10" s="1"/>
  <c r="Q385" i="10"/>
  <c r="Y384" i="10"/>
  <c r="Q11" i="10"/>
  <c r="AB428" i="10"/>
  <c r="X405" i="10"/>
  <c r="Z405" i="10"/>
  <c r="R233" i="10"/>
  <c r="Z232" i="10"/>
  <c r="R6" i="10"/>
  <c r="K431" i="10"/>
  <c r="Y341" i="10"/>
  <c r="Q343" i="10"/>
  <c r="L401" i="10"/>
  <c r="P429" i="10"/>
  <c r="R89" i="10"/>
  <c r="Z88" i="10"/>
  <c r="S353" i="10"/>
  <c r="S191" i="10"/>
  <c r="AA189" i="10"/>
  <c r="AR186" i="10"/>
  <c r="M276" i="10"/>
  <c r="AA126" i="10"/>
  <c r="S127" i="10"/>
  <c r="S315" i="10"/>
  <c r="Q429" i="10"/>
  <c r="Y429" i="10" s="1"/>
  <c r="Z384" i="10"/>
  <c r="R385" i="10"/>
  <c r="R11" i="10"/>
  <c r="W379" i="10"/>
  <c r="O381" i="10"/>
  <c r="L341" i="10"/>
  <c r="M339" i="10"/>
  <c r="L329" i="10"/>
  <c r="M329" i="10" s="1"/>
  <c r="S279" i="10"/>
  <c r="P203" i="10"/>
  <c r="Q279" i="10"/>
  <c r="O309" i="10"/>
  <c r="W308" i="10"/>
  <c r="O9" i="10"/>
  <c r="L126" i="10"/>
  <c r="M121" i="10"/>
  <c r="S423" i="10"/>
  <c r="AA422" i="10"/>
  <c r="S12" i="10"/>
  <c r="X352" i="10"/>
  <c r="P392" i="10"/>
  <c r="X387" i="10"/>
  <c r="Z341" i="10"/>
  <c r="R343" i="10"/>
  <c r="R191" i="10"/>
  <c r="Z189" i="10"/>
  <c r="Q423" i="10"/>
  <c r="Y422" i="10"/>
  <c r="Q12" i="10"/>
  <c r="Q127" i="10"/>
  <c r="Z127" i="10" s="1"/>
  <c r="Y126" i="10"/>
  <c r="Z126" i="10"/>
  <c r="Z77" i="10"/>
  <c r="R78" i="10"/>
  <c r="AB390" i="10"/>
  <c r="O271" i="10"/>
  <c r="W270" i="10"/>
  <c r="O8" i="10"/>
  <c r="S347" i="10"/>
  <c r="AA346" i="10"/>
  <c r="S10" i="10"/>
  <c r="X253" i="10"/>
  <c r="AA384" i="10"/>
  <c r="S385" i="10"/>
  <c r="S11" i="10"/>
  <c r="W177" i="10"/>
  <c r="AT179" i="10"/>
  <c r="T78" i="10"/>
  <c r="AB77" i="10"/>
  <c r="R347" i="10"/>
  <c r="Z346" i="10"/>
  <c r="R10" i="10"/>
  <c r="R240" i="10"/>
  <c r="Z235" i="10"/>
  <c r="AB384" i="10"/>
  <c r="T385" i="10"/>
  <c r="Y88" i="10"/>
  <c r="Q89" i="10"/>
  <c r="W89" i="10" s="1"/>
  <c r="S271" i="10"/>
  <c r="AA270" i="10"/>
  <c r="S8" i="10"/>
  <c r="P354" i="10"/>
  <c r="X349" i="10"/>
  <c r="M383" i="10"/>
  <c r="L384" i="10"/>
  <c r="AB417" i="10"/>
  <c r="T419" i="10"/>
  <c r="O127" i="10"/>
  <c r="W126" i="10"/>
  <c r="P343" i="10"/>
  <c r="X341" i="10"/>
  <c r="AA235" i="10"/>
  <c r="S240" i="10"/>
  <c r="AB88" i="10"/>
  <c r="R430" i="10"/>
  <c r="Z425" i="10"/>
  <c r="Z308" i="10"/>
  <c r="R309" i="10"/>
  <c r="R9" i="10"/>
  <c r="O239" i="10"/>
  <c r="Z379" i="10"/>
  <c r="R381" i="10"/>
  <c r="Z316" i="10"/>
  <c r="R317" i="10"/>
  <c r="Q309" i="10"/>
  <c r="Y308" i="10"/>
  <c r="Q9" i="10"/>
  <c r="L240" i="10"/>
  <c r="M235" i="10"/>
  <c r="AA341" i="10"/>
  <c r="S343" i="10"/>
  <c r="O315" i="10"/>
  <c r="AB194" i="10"/>
  <c r="T195" i="10"/>
  <c r="S201" i="10"/>
  <c r="L305" i="10"/>
  <c r="M303" i="10"/>
  <c r="L315" i="10"/>
  <c r="M315" i="10" s="1"/>
  <c r="Q191" i="10"/>
  <c r="Y189" i="10"/>
  <c r="AS186" i="10"/>
  <c r="O233" i="10"/>
  <c r="W232" i="10"/>
  <c r="O6" i="10"/>
  <c r="P191" i="10"/>
  <c r="X189" i="10"/>
  <c r="R305" i="10"/>
  <c r="Z303" i="10"/>
  <c r="X346" i="10"/>
  <c r="P347" i="10"/>
  <c r="P10" i="10"/>
  <c r="R195" i="10"/>
  <c r="Z194" i="10"/>
  <c r="R5" i="10"/>
  <c r="W417" i="10"/>
  <c r="O419" i="10"/>
  <c r="P353" i="10"/>
  <c r="P201" i="10"/>
  <c r="L229" i="10"/>
  <c r="M227" i="10"/>
  <c r="K423" i="10"/>
  <c r="K12" i="10"/>
  <c r="AB227" i="10"/>
  <c r="T229" i="10"/>
  <c r="P127" i="10"/>
  <c r="X126" i="10"/>
  <c r="AA329" i="10"/>
  <c r="Y177" i="10"/>
  <c r="AS179" i="10"/>
  <c r="M345" i="10"/>
  <c r="L346" i="10"/>
  <c r="W215" i="10"/>
  <c r="Y232" i="10"/>
  <c r="Q233" i="10"/>
  <c r="Q6" i="10"/>
  <c r="X276" i="10"/>
  <c r="L363" i="10"/>
  <c r="W200" i="10"/>
  <c r="X379" i="10"/>
  <c r="P381" i="10"/>
  <c r="P279" i="10"/>
  <c r="X265" i="10"/>
  <c r="P267" i="10"/>
  <c r="M113" i="10"/>
  <c r="L115" i="10"/>
  <c r="Q317" i="10"/>
  <c r="Y316" i="10"/>
  <c r="T423" i="10"/>
  <c r="AB422" i="10"/>
  <c r="AB197" i="10"/>
  <c r="T202" i="10"/>
  <c r="M73" i="10"/>
  <c r="P239" i="10"/>
  <c r="X239" i="10" s="1"/>
  <c r="L164" i="10"/>
  <c r="M159" i="10"/>
  <c r="Z352" i="10"/>
  <c r="Y314" i="10"/>
  <c r="AA194" i="10"/>
  <c r="S195" i="10"/>
  <c r="S5" i="10"/>
  <c r="L309" i="10"/>
  <c r="M308" i="10"/>
  <c r="L9" i="10"/>
  <c r="Z390" i="10"/>
  <c r="R202" i="10"/>
  <c r="Z197" i="10"/>
  <c r="Q195" i="10"/>
  <c r="Y194" i="10"/>
  <c r="Q5" i="10"/>
  <c r="O355" i="10"/>
  <c r="AA417" i="10"/>
  <c r="S419" i="10"/>
  <c r="W273" i="10"/>
  <c r="O278" i="10"/>
  <c r="O191" i="10"/>
  <c r="AT186" i="10"/>
  <c r="W189" i="10"/>
  <c r="Z428" i="10"/>
  <c r="S316" i="10"/>
  <c r="AA311" i="10"/>
  <c r="W422" i="10"/>
  <c r="O423" i="10"/>
  <c r="O12" i="10"/>
  <c r="R392" i="10"/>
  <c r="Z387" i="10"/>
  <c r="Q354" i="10"/>
  <c r="Y349" i="10"/>
  <c r="K347" i="10"/>
  <c r="K10" i="10"/>
  <c r="X308" i="10"/>
  <c r="P309" i="10"/>
  <c r="P9" i="10"/>
  <c r="L163" i="10"/>
  <c r="M163" i="10" s="1"/>
  <c r="S277" i="10"/>
  <c r="AA88" i="10"/>
  <c r="T239" i="10"/>
  <c r="X422" i="10"/>
  <c r="P423" i="10"/>
  <c r="P12" i="10"/>
  <c r="R423" i="10"/>
  <c r="Z422" i="10"/>
  <c r="R12" i="10"/>
  <c r="Q267" i="10"/>
  <c r="Y265" i="10"/>
  <c r="S239" i="10"/>
  <c r="AA390" i="10"/>
  <c r="X88" i="10"/>
  <c r="W349" i="10"/>
  <c r="AA265" i="10"/>
  <c r="S267" i="10"/>
  <c r="W428" i="10"/>
  <c r="W291" i="10"/>
  <c r="R278" i="10"/>
  <c r="Y278" i="10" s="1"/>
  <c r="Z273" i="10"/>
  <c r="AA405" i="10"/>
  <c r="X329" i="10"/>
  <c r="Y227" i="10"/>
  <c r="Q229" i="10"/>
  <c r="L157" i="10"/>
  <c r="M156" i="10"/>
  <c r="L7" i="10"/>
  <c r="R239" i="10"/>
  <c r="M428" i="10"/>
  <c r="M426" i="10"/>
  <c r="L233" i="10"/>
  <c r="M232" i="10"/>
  <c r="L6" i="10"/>
  <c r="W194" i="10"/>
  <c r="O195" i="10"/>
  <c r="O5" i="10"/>
  <c r="AA153" i="10"/>
  <c r="Q419" i="10"/>
  <c r="Y417" i="10"/>
  <c r="Y291" i="10"/>
  <c r="Q202" i="10"/>
  <c r="Y197" i="10"/>
  <c r="W88" i="10"/>
  <c r="O385" i="10"/>
  <c r="W384" i="10"/>
  <c r="O11" i="10"/>
  <c r="W202" i="10" l="1"/>
  <c r="L88" i="10"/>
  <c r="X315" i="10"/>
  <c r="W315" i="10"/>
  <c r="AA315" i="10"/>
  <c r="AA201" i="10"/>
  <c r="Y315" i="10"/>
  <c r="X201" i="10"/>
  <c r="AB201" i="10"/>
  <c r="Z201" i="10"/>
  <c r="L271" i="10"/>
  <c r="M153" i="10"/>
  <c r="K195" i="10"/>
  <c r="L267" i="10"/>
  <c r="M267" i="10" s="1"/>
  <c r="AB392" i="10"/>
  <c r="M86" i="10"/>
  <c r="M151" i="10"/>
  <c r="Q393" i="10"/>
  <c r="Y392" i="10"/>
  <c r="K5" i="10"/>
  <c r="M233" i="10"/>
  <c r="L8" i="10"/>
  <c r="M316" i="10"/>
  <c r="M270" i="10"/>
  <c r="L430" i="10"/>
  <c r="M430" i="10" s="1"/>
  <c r="L75" i="10"/>
  <c r="M75" i="10" s="1"/>
  <c r="L80" i="10"/>
  <c r="M80" i="10" s="1"/>
  <c r="L63" i="10"/>
  <c r="M63" i="10" s="1"/>
  <c r="L189" i="10"/>
  <c r="M189" i="10" s="1"/>
  <c r="K3" i="10"/>
  <c r="K81" i="10"/>
  <c r="M198" i="10"/>
  <c r="M187" i="10"/>
  <c r="L177" i="10"/>
  <c r="M177" i="10" s="1"/>
  <c r="L194" i="10"/>
  <c r="M194" i="10" s="1"/>
  <c r="L392" i="10"/>
  <c r="M392" i="10" s="1"/>
  <c r="P317" i="10"/>
  <c r="X317" i="10" s="1"/>
  <c r="W78" i="10"/>
  <c r="X277" i="10"/>
  <c r="X89" i="10"/>
  <c r="Z353" i="10"/>
  <c r="Y277" i="10"/>
  <c r="AA353" i="10"/>
  <c r="AA277" i="10"/>
  <c r="X353" i="10"/>
  <c r="W353" i="10"/>
  <c r="L353" i="10"/>
  <c r="M353" i="10" s="1"/>
  <c r="AA239" i="10"/>
  <c r="Z165" i="10"/>
  <c r="L278" i="10"/>
  <c r="M273" i="10"/>
  <c r="AA89" i="10"/>
  <c r="AA154" i="10"/>
  <c r="Z154" i="10"/>
  <c r="W201" i="10"/>
  <c r="W391" i="10"/>
  <c r="AA391" i="10"/>
  <c r="Z239" i="10"/>
  <c r="W429" i="10"/>
  <c r="AB429" i="10"/>
  <c r="AB239" i="10"/>
  <c r="AB391" i="10"/>
  <c r="X391" i="10"/>
  <c r="Z391" i="10"/>
  <c r="Q355" i="10"/>
  <c r="AA355" i="10" s="1"/>
  <c r="Y354" i="10"/>
  <c r="P355" i="10"/>
  <c r="X354" i="10"/>
  <c r="Q192" i="10"/>
  <c r="Y192" i="10" s="1"/>
  <c r="Y191" i="10"/>
  <c r="X419" i="10"/>
  <c r="P420" i="10"/>
  <c r="Q241" i="10"/>
  <c r="Y240" i="10"/>
  <c r="Q230" i="10"/>
  <c r="Y229" i="10"/>
  <c r="Z392" i="10"/>
  <c r="R393" i="10"/>
  <c r="S344" i="10"/>
  <c r="AA343" i="10"/>
  <c r="Z78" i="10"/>
  <c r="Z429" i="10"/>
  <c r="Q431" i="10"/>
  <c r="Y430" i="10"/>
  <c r="W240" i="10"/>
  <c r="O241" i="10"/>
  <c r="AA392" i="10"/>
  <c r="S393" i="10"/>
  <c r="AB89" i="10"/>
  <c r="Y381" i="10"/>
  <c r="Q382" i="10"/>
  <c r="L391" i="10"/>
  <c r="M391" i="10" s="1"/>
  <c r="T382" i="10"/>
  <c r="AB381" i="10"/>
  <c r="W116" i="10"/>
  <c r="Z267" i="10"/>
  <c r="R268" i="10"/>
  <c r="M384" i="10"/>
  <c r="L385" i="10"/>
  <c r="L11" i="10"/>
  <c r="AB78" i="10"/>
  <c r="T203" i="10"/>
  <c r="AB202" i="10"/>
  <c r="P268" i="10"/>
  <c r="X267" i="10"/>
  <c r="Y419" i="10"/>
  <c r="Q420" i="10"/>
  <c r="S420" i="10"/>
  <c r="AA419" i="10"/>
  <c r="M229" i="10"/>
  <c r="L230" i="10"/>
  <c r="X191" i="10"/>
  <c r="P192" i="10"/>
  <c r="Z317" i="10"/>
  <c r="Z318" i="10"/>
  <c r="R192" i="10"/>
  <c r="Z191" i="10"/>
  <c r="L343" i="10"/>
  <c r="M341" i="10"/>
  <c r="AA127" i="10"/>
  <c r="Z89" i="10"/>
  <c r="W229" i="10"/>
  <c r="O230" i="10"/>
  <c r="Y116" i="10"/>
  <c r="AB116" i="10"/>
  <c r="AA116" i="10"/>
  <c r="Z116" i="10"/>
  <c r="M422" i="10"/>
  <c r="L423" i="10"/>
  <c r="L12" i="10"/>
  <c r="Z229" i="10"/>
  <c r="R230" i="10"/>
  <c r="X154" i="10"/>
  <c r="AB154" i="10"/>
  <c r="Y154" i="10"/>
  <c r="X305" i="10"/>
  <c r="P306" i="10"/>
  <c r="L116" i="10"/>
  <c r="M115" i="10"/>
  <c r="W419" i="10"/>
  <c r="O420" i="10"/>
  <c r="Z354" i="10"/>
  <c r="R355" i="10"/>
  <c r="W317" i="10"/>
  <c r="L429" i="10"/>
  <c r="M429" i="10" s="1"/>
  <c r="M154" i="10"/>
  <c r="M346" i="10"/>
  <c r="L347" i="10"/>
  <c r="L10" i="10"/>
  <c r="L306" i="10"/>
  <c r="M305" i="10"/>
  <c r="X343" i="10"/>
  <c r="P344" i="10"/>
  <c r="Y89" i="10"/>
  <c r="Y90" i="10"/>
  <c r="R241" i="10"/>
  <c r="Z240" i="10"/>
  <c r="R344" i="10"/>
  <c r="Z343" i="10"/>
  <c r="Y239" i="10"/>
  <c r="X429" i="10"/>
  <c r="T241" i="10"/>
  <c r="AB240" i="10"/>
  <c r="AB127" i="10"/>
  <c r="S203" i="10"/>
  <c r="AA202" i="10"/>
  <c r="O268" i="10"/>
  <c r="W267" i="10"/>
  <c r="S306" i="10"/>
  <c r="AA305" i="10"/>
  <c r="X240" i="10"/>
  <c r="P241" i="10"/>
  <c r="Q203" i="10"/>
  <c r="W203" i="10" s="1"/>
  <c r="Y202" i="10"/>
  <c r="AA191" i="10"/>
  <c r="S192" i="10"/>
  <c r="Z278" i="10"/>
  <c r="R279" i="10"/>
  <c r="Y279" i="10" s="1"/>
  <c r="R306" i="10"/>
  <c r="Z306" i="10" s="1"/>
  <c r="Z305" i="10"/>
  <c r="S241" i="10"/>
  <c r="AA240" i="10"/>
  <c r="X127" i="10"/>
  <c r="AA166" i="10"/>
  <c r="X165" i="10"/>
  <c r="W165" i="10"/>
  <c r="AB165" i="10"/>
  <c r="AA267" i="10"/>
  <c r="S268" i="10"/>
  <c r="AT189" i="10"/>
  <c r="AT187" i="10"/>
  <c r="M164" i="10"/>
  <c r="L165" i="10"/>
  <c r="X278" i="10"/>
  <c r="O382" i="10"/>
  <c r="W381" i="10"/>
  <c r="X430" i="10"/>
  <c r="P431" i="10"/>
  <c r="O306" i="10"/>
  <c r="W305" i="10"/>
  <c r="AA165" i="10"/>
  <c r="S230" i="10"/>
  <c r="AA229" i="10"/>
  <c r="Q268" i="10"/>
  <c r="Y267" i="10"/>
  <c r="O192" i="10"/>
  <c r="W191" i="10"/>
  <c r="W354" i="10"/>
  <c r="X381" i="10"/>
  <c r="P382" i="10"/>
  <c r="T230" i="10"/>
  <c r="AB229" i="10"/>
  <c r="W127" i="10"/>
  <c r="Y127" i="10"/>
  <c r="Y128" i="10"/>
  <c r="X202" i="10"/>
  <c r="AR189" i="10"/>
  <c r="AR187" i="10"/>
  <c r="R420" i="10"/>
  <c r="Z419" i="10"/>
  <c r="L354" i="10"/>
  <c r="M349" i="10"/>
  <c r="P230" i="10"/>
  <c r="X229" i="10"/>
  <c r="AA429" i="10"/>
  <c r="Z381" i="10"/>
  <c r="R382" i="10"/>
  <c r="AA381" i="10"/>
  <c r="S382" i="10"/>
  <c r="X116" i="10"/>
  <c r="W343" i="10"/>
  <c r="O344" i="10"/>
  <c r="AB191" i="10"/>
  <c r="T192" i="10"/>
  <c r="W430" i="10"/>
  <c r="O431" i="10"/>
  <c r="S431" i="10"/>
  <c r="AA430" i="10"/>
  <c r="AA316" i="10"/>
  <c r="S317" i="10"/>
  <c r="O279" i="10"/>
  <c r="W278" i="10"/>
  <c r="R203" i="10"/>
  <c r="Z202" i="10"/>
  <c r="Y317" i="10"/>
  <c r="AS187" i="10"/>
  <c r="AS189" i="10"/>
  <c r="AS190" i="10" s="1"/>
  <c r="AW190" i="10" s="1"/>
  <c r="L241" i="10"/>
  <c r="M240" i="10"/>
  <c r="W239" i="10"/>
  <c r="R431" i="10"/>
  <c r="Z430" i="10"/>
  <c r="T420" i="10"/>
  <c r="AB419" i="10"/>
  <c r="P393" i="10"/>
  <c r="X392" i="10"/>
  <c r="L127" i="10"/>
  <c r="M126" i="10"/>
  <c r="AA278" i="10"/>
  <c r="M317" i="10"/>
  <c r="M318" i="10"/>
  <c r="Y78" i="10"/>
  <c r="M417" i="10"/>
  <c r="L419" i="10"/>
  <c r="L201" i="10"/>
  <c r="M201" i="10" s="1"/>
  <c r="Y305" i="10"/>
  <c r="Q306" i="10"/>
  <c r="W277" i="10"/>
  <c r="Y343" i="10"/>
  <c r="Q344" i="10"/>
  <c r="T431" i="10"/>
  <c r="AB430" i="10"/>
  <c r="M379" i="10"/>
  <c r="L381" i="10"/>
  <c r="AA354" i="10"/>
  <c r="AA78" i="10"/>
  <c r="M83" i="10" l="1"/>
  <c r="L87" i="10"/>
  <c r="M87" i="10" s="1"/>
  <c r="L268" i="10"/>
  <c r="L191" i="10"/>
  <c r="M191" i="10" s="1"/>
  <c r="L393" i="10"/>
  <c r="L77" i="10"/>
  <c r="M77" i="10" s="1"/>
  <c r="L431" i="10"/>
  <c r="M431" i="10" s="1"/>
  <c r="L3" i="10"/>
  <c r="L81" i="10"/>
  <c r="X318" i="10"/>
  <c r="AA268" i="10"/>
  <c r="L5" i="10"/>
  <c r="AA192" i="10"/>
  <c r="M197" i="10"/>
  <c r="L202" i="10"/>
  <c r="L203" i="10" s="1"/>
  <c r="L195" i="10"/>
  <c r="X192" i="10"/>
  <c r="AB192" i="10"/>
  <c r="W192" i="10"/>
  <c r="Z192" i="10"/>
  <c r="Y318" i="10"/>
  <c r="W355" i="10"/>
  <c r="X203" i="10"/>
  <c r="L279" i="10"/>
  <c r="M278" i="10"/>
  <c r="AA306" i="10"/>
  <c r="AB128" i="10"/>
  <c r="AA279" i="10"/>
  <c r="AA382" i="10"/>
  <c r="W318" i="10"/>
  <c r="AA128" i="10"/>
  <c r="X128" i="10"/>
  <c r="Z128" i="10"/>
  <c r="L382" i="10"/>
  <c r="M381" i="10"/>
  <c r="W382" i="10"/>
  <c r="AB241" i="10"/>
  <c r="X420" i="10"/>
  <c r="AB420" i="10"/>
  <c r="W279" i="10"/>
  <c r="AY187" i="10"/>
  <c r="AB230" i="10"/>
  <c r="W268" i="10"/>
  <c r="X344" i="10"/>
  <c r="X279" i="10"/>
  <c r="W90" i="10"/>
  <c r="M343" i="10"/>
  <c r="L344" i="10"/>
  <c r="Y420" i="10"/>
  <c r="AB90" i="10"/>
  <c r="AY189" i="10"/>
  <c r="AR190" i="10"/>
  <c r="AY190" i="10" s="1"/>
  <c r="Y268" i="10"/>
  <c r="AA241" i="10"/>
  <c r="Y204" i="10"/>
  <c r="Y203" i="10"/>
  <c r="X306" i="10"/>
  <c r="W230" i="10"/>
  <c r="AA317" i="10"/>
  <c r="AA318" i="10"/>
  <c r="W344" i="10"/>
  <c r="Z382" i="10"/>
  <c r="Y344" i="10"/>
  <c r="Z431" i="10"/>
  <c r="M166" i="10"/>
  <c r="M165" i="10"/>
  <c r="X242" i="10"/>
  <c r="X241" i="10"/>
  <c r="AA203" i="10"/>
  <c r="Z344" i="10"/>
  <c r="Z355" i="10"/>
  <c r="M230" i="10"/>
  <c r="Y230" i="10"/>
  <c r="X90" i="10"/>
  <c r="L355" i="10"/>
  <c r="M354" i="10"/>
  <c r="W306" i="10"/>
  <c r="AB431" i="10"/>
  <c r="Y306" i="10"/>
  <c r="Z420" i="10"/>
  <c r="X382" i="10"/>
  <c r="AA230" i="10"/>
  <c r="X431" i="10"/>
  <c r="X166" i="10"/>
  <c r="W166" i="10"/>
  <c r="AB166" i="10"/>
  <c r="M306" i="10"/>
  <c r="X268" i="10"/>
  <c r="AB382" i="10"/>
  <c r="W241" i="10"/>
  <c r="M116" i="10"/>
  <c r="Z230" i="10"/>
  <c r="M128" i="10"/>
  <c r="M127" i="10"/>
  <c r="AZ187" i="10"/>
  <c r="W420" i="10"/>
  <c r="Z90" i="10"/>
  <c r="Y166" i="10"/>
  <c r="X355" i="10"/>
  <c r="L420" i="10"/>
  <c r="M419" i="10"/>
  <c r="AA431" i="10"/>
  <c r="Z280" i="10"/>
  <c r="Z279" i="10"/>
  <c r="M241" i="10"/>
  <c r="M242" i="10"/>
  <c r="Z203" i="10"/>
  <c r="W431" i="10"/>
  <c r="X230" i="10"/>
  <c r="W128" i="10"/>
  <c r="AT190" i="10"/>
  <c r="AZ190" i="10" s="1"/>
  <c r="AZ189" i="10"/>
  <c r="Z241" i="10"/>
  <c r="AA90" i="10"/>
  <c r="AA420" i="10"/>
  <c r="AB203" i="10"/>
  <c r="AA344" i="10"/>
  <c r="M88" i="10"/>
  <c r="L89" i="10"/>
  <c r="Z268" i="10"/>
  <c r="Y382" i="10"/>
  <c r="Y432" i="10"/>
  <c r="Y431" i="10"/>
  <c r="Z166" i="10"/>
  <c r="Y241" i="10"/>
  <c r="Y356" i="10"/>
  <c r="Y355" i="10"/>
  <c r="M268" i="10" l="1"/>
  <c r="L192" i="10"/>
  <c r="M192" i="10" s="1"/>
  <c r="M432" i="10"/>
  <c r="L78" i="10"/>
  <c r="M78" i="10" s="1"/>
  <c r="Z242" i="10"/>
  <c r="Z204" i="10"/>
  <c r="Y242" i="10"/>
  <c r="AB204" i="10"/>
  <c r="M280" i="10"/>
  <c r="M279" i="10"/>
  <c r="AA432" i="10"/>
  <c r="W432" i="10"/>
  <c r="AA204" i="10"/>
  <c r="X204" i="10"/>
  <c r="M344" i="10"/>
  <c r="AB432" i="10"/>
  <c r="Z356" i="10"/>
  <c r="X280" i="10"/>
  <c r="AB242" i="10"/>
  <c r="M420" i="10"/>
  <c r="W356" i="10"/>
  <c r="W204" i="10"/>
  <c r="AA280" i="10"/>
  <c r="W242" i="10"/>
  <c r="Z432" i="10"/>
  <c r="W280" i="10"/>
  <c r="X356" i="10"/>
  <c r="M89" i="10"/>
  <c r="M90" i="10"/>
  <c r="AA356" i="10"/>
  <c r="X432" i="10"/>
  <c r="M355" i="10"/>
  <c r="M356" i="10"/>
  <c r="Y280" i="10"/>
  <c r="AA242" i="10"/>
  <c r="M382" i="10"/>
  <c r="AS66" i="10" l="1"/>
  <c r="AR66" i="10"/>
  <c r="AP66" i="10"/>
  <c r="AT66" i="10"/>
  <c r="AQ66" i="10"/>
  <c r="AO66" i="10"/>
  <c r="AS78" i="10" l="1"/>
  <c r="AQ78" i="10" l="1"/>
  <c r="AP78" i="10"/>
  <c r="AO78" i="10"/>
  <c r="AR78" i="10"/>
  <c r="AT78" i="10"/>
  <c r="AS79" i="10" l="1"/>
  <c r="AQ79" i="10" l="1"/>
  <c r="AT79" i="10"/>
  <c r="AP79" i="10"/>
  <c r="AR79" i="10"/>
  <c r="AO79" i="10"/>
  <c r="V43" i="3" l="1"/>
  <c r="V42" i="3"/>
  <c r="P420" i="3" l="1"/>
  <c r="J407" i="3" l="1"/>
  <c r="J406" i="3"/>
  <c r="J405" i="3"/>
  <c r="J404" i="3"/>
  <c r="J403" i="3"/>
  <c r="J402" i="3"/>
  <c r="J400" i="3"/>
  <c r="J399" i="3"/>
  <c r="J398" i="3"/>
  <c r="J397" i="3"/>
  <c r="J396" i="3"/>
  <c r="J395" i="3"/>
  <c r="J394" i="3"/>
  <c r="P383" i="3" l="1"/>
  <c r="J370" i="3" l="1"/>
  <c r="J369" i="3"/>
  <c r="J368" i="3"/>
  <c r="J367" i="3"/>
  <c r="J366" i="3"/>
  <c r="J365" i="3"/>
  <c r="J363" i="3"/>
  <c r="J362" i="3"/>
  <c r="J361" i="3"/>
  <c r="J360" i="3"/>
  <c r="J359" i="3"/>
  <c r="J358" i="3"/>
  <c r="J357" i="3"/>
  <c r="J333" i="3"/>
  <c r="J332" i="3"/>
  <c r="J331" i="3"/>
  <c r="J330" i="3"/>
  <c r="J329" i="3"/>
  <c r="J328" i="3"/>
  <c r="J326" i="3"/>
  <c r="J325" i="3"/>
  <c r="J324" i="3"/>
  <c r="J323" i="3"/>
  <c r="J322" i="3"/>
  <c r="J321" i="3"/>
  <c r="J320" i="3"/>
  <c r="J296" i="3"/>
  <c r="J295" i="3"/>
  <c r="J294" i="3"/>
  <c r="J293" i="3"/>
  <c r="J292" i="3"/>
  <c r="J291" i="3"/>
  <c r="J289" i="3"/>
  <c r="J288" i="3"/>
  <c r="J287" i="3"/>
  <c r="J286" i="3"/>
  <c r="J285" i="3"/>
  <c r="J284" i="3"/>
  <c r="J283" i="3"/>
  <c r="J259" i="3"/>
  <c r="J258" i="3"/>
  <c r="J257" i="3"/>
  <c r="J256" i="3"/>
  <c r="J255" i="3"/>
  <c r="J254" i="3"/>
  <c r="J252" i="3"/>
  <c r="J251" i="3"/>
  <c r="J250" i="3"/>
  <c r="J249" i="3"/>
  <c r="J248" i="3"/>
  <c r="J247" i="3"/>
  <c r="J246" i="3"/>
  <c r="H313" i="3"/>
  <c r="H314" i="3" s="1"/>
  <c r="H315" i="3" s="1"/>
  <c r="H316" i="3" s="1"/>
  <c r="H317" i="3" s="1"/>
  <c r="H318" i="3" s="1"/>
  <c r="H319" i="3" s="1"/>
  <c r="H320" i="3" s="1"/>
  <c r="H321" i="3" s="1"/>
  <c r="H322" i="3" s="1"/>
  <c r="H323" i="3" s="1"/>
  <c r="H324" i="3" s="1"/>
  <c r="H325" i="3" s="1"/>
  <c r="H326" i="3" s="1"/>
  <c r="H327" i="3" s="1"/>
  <c r="H328" i="3" s="1"/>
  <c r="H329" i="3" s="1"/>
  <c r="H330" i="3" s="1"/>
  <c r="H331" i="3" s="1"/>
  <c r="H332" i="3" s="1"/>
  <c r="H333" i="3" s="1"/>
  <c r="H334" i="3" s="1"/>
  <c r="H335" i="3" s="1"/>
  <c r="H336" i="3" s="1"/>
  <c r="H337" i="3" s="1"/>
  <c r="H338" i="3" s="1"/>
  <c r="H339" i="3" s="1"/>
  <c r="H340" i="3" s="1"/>
  <c r="H341" i="3" s="1"/>
  <c r="H342" i="3" s="1"/>
  <c r="H343" i="3" s="1"/>
  <c r="H344" i="3" s="1"/>
  <c r="H345" i="3" s="1"/>
  <c r="H346" i="3" s="1"/>
  <c r="H347" i="3" s="1"/>
  <c r="H348" i="3" s="1"/>
  <c r="H349" i="3" s="1"/>
  <c r="H276" i="3"/>
  <c r="H277" i="3" s="1"/>
  <c r="H278" i="3" s="1"/>
  <c r="H279" i="3" s="1"/>
  <c r="H280" i="3" s="1"/>
  <c r="H281" i="3" s="1"/>
  <c r="H282" i="3" s="1"/>
  <c r="H283" i="3" s="1"/>
  <c r="H284" i="3" s="1"/>
  <c r="H285" i="3" s="1"/>
  <c r="H286" i="3" s="1"/>
  <c r="H287" i="3" s="1"/>
  <c r="H288" i="3" s="1"/>
  <c r="H289" i="3" s="1"/>
  <c r="H290" i="3" s="1"/>
  <c r="H291" i="3" s="1"/>
  <c r="H292" i="3" s="1"/>
  <c r="H293" i="3" s="1"/>
  <c r="H294" i="3" s="1"/>
  <c r="H295" i="3" s="1"/>
  <c r="H296" i="3" s="1"/>
  <c r="H297" i="3" s="1"/>
  <c r="H298" i="3" s="1"/>
  <c r="H299" i="3" s="1"/>
  <c r="H300" i="3" s="1"/>
  <c r="H301" i="3" s="1"/>
  <c r="H302" i="3" s="1"/>
  <c r="H303" i="3" s="1"/>
  <c r="H304" i="3" s="1"/>
  <c r="H305" i="3" s="1"/>
  <c r="H306" i="3" s="1"/>
  <c r="H307" i="3" s="1"/>
  <c r="H308" i="3" s="1"/>
  <c r="H309" i="3" s="1"/>
  <c r="H310" i="3" s="1"/>
  <c r="H311" i="3" s="1"/>
  <c r="H312" i="3" s="1"/>
  <c r="J222" i="3"/>
  <c r="J221" i="3"/>
  <c r="J220" i="3"/>
  <c r="J219" i="3"/>
  <c r="J218" i="3"/>
  <c r="J217" i="3"/>
  <c r="J215" i="3"/>
  <c r="J214" i="3"/>
  <c r="J213" i="3"/>
  <c r="J212" i="3"/>
  <c r="J211" i="3"/>
  <c r="J210" i="3"/>
  <c r="J209" i="3"/>
  <c r="P199" i="3"/>
  <c r="P198" i="3"/>
  <c r="P161" i="3"/>
  <c r="H239" i="3"/>
  <c r="H240" i="3" s="1"/>
  <c r="H241" i="3" s="1"/>
  <c r="H242" i="3" s="1"/>
  <c r="H243" i="3" s="1"/>
  <c r="H244" i="3" s="1"/>
  <c r="H245" i="3" s="1"/>
  <c r="H246" i="3" s="1"/>
  <c r="H247" i="3" s="1"/>
  <c r="H248" i="3" s="1"/>
  <c r="H249" i="3" s="1"/>
  <c r="H250" i="3" s="1"/>
  <c r="H251" i="3" s="1"/>
  <c r="H252" i="3" s="1"/>
  <c r="H253" i="3" s="1"/>
  <c r="H254" i="3" s="1"/>
  <c r="H255" i="3" s="1"/>
  <c r="H256" i="3" s="1"/>
  <c r="H257" i="3" s="1"/>
  <c r="H258" i="3" s="1"/>
  <c r="H259" i="3" s="1"/>
  <c r="H260" i="3" s="1"/>
  <c r="H261" i="3" s="1"/>
  <c r="H262" i="3" s="1"/>
  <c r="H263" i="3" s="1"/>
  <c r="H264" i="3" s="1"/>
  <c r="H265" i="3" s="1"/>
  <c r="H266" i="3" s="1"/>
  <c r="H267" i="3" s="1"/>
  <c r="H268" i="3" s="1"/>
  <c r="H269" i="3" s="1"/>
  <c r="H270" i="3" s="1"/>
  <c r="H271" i="3" s="1"/>
  <c r="H272" i="3" s="1"/>
  <c r="H273" i="3" s="1"/>
  <c r="H274" i="3" s="1"/>
  <c r="H202" i="3"/>
  <c r="H203" i="3" s="1"/>
  <c r="H204" i="3" s="1"/>
  <c r="H205" i="3" s="1"/>
  <c r="H206" i="3" s="1"/>
  <c r="H207" i="3" s="1"/>
  <c r="H208" i="3" s="1"/>
  <c r="H209" i="3" s="1"/>
  <c r="H210" i="3" s="1"/>
  <c r="H211" i="3" s="1"/>
  <c r="H212" i="3" s="1"/>
  <c r="H213" i="3" s="1"/>
  <c r="H214" i="3" s="1"/>
  <c r="H215" i="3" s="1"/>
  <c r="H216" i="3" s="1"/>
  <c r="H217" i="3" s="1"/>
  <c r="H218" i="3" s="1"/>
  <c r="H219" i="3" s="1"/>
  <c r="H220" i="3" s="1"/>
  <c r="H221" i="3" s="1"/>
  <c r="H222" i="3" s="1"/>
  <c r="H223" i="3" s="1"/>
  <c r="H224" i="3" s="1"/>
  <c r="H225" i="3" s="1"/>
  <c r="H226" i="3" s="1"/>
  <c r="H227" i="3" s="1"/>
  <c r="H228" i="3" s="1"/>
  <c r="H229" i="3" s="1"/>
  <c r="H230" i="3" s="1"/>
  <c r="H231" i="3" s="1"/>
  <c r="H232" i="3" s="1"/>
  <c r="H233" i="3" s="1"/>
  <c r="H234" i="3" s="1"/>
  <c r="H235" i="3" s="1"/>
  <c r="H236" i="3" s="1"/>
  <c r="H237" i="3" s="1"/>
  <c r="H238" i="3" s="1"/>
  <c r="H165" i="3"/>
  <c r="H166" i="3" s="1"/>
  <c r="H167" i="3" s="1"/>
  <c r="H168" i="3" s="1"/>
  <c r="H169" i="3" s="1"/>
  <c r="H170" i="3" s="1"/>
  <c r="H171" i="3" s="1"/>
  <c r="H172" i="3" s="1"/>
  <c r="H173" i="3" s="1"/>
  <c r="H174" i="3" s="1"/>
  <c r="H175" i="3" s="1"/>
  <c r="H176" i="3" s="1"/>
  <c r="H177" i="3" s="1"/>
  <c r="H178" i="3" s="1"/>
  <c r="H179" i="3" s="1"/>
  <c r="H180" i="3" s="1"/>
  <c r="H181" i="3" s="1"/>
  <c r="H182" i="3" s="1"/>
  <c r="H183" i="3" s="1"/>
  <c r="H184" i="3" s="1"/>
  <c r="H185" i="3" s="1"/>
  <c r="H186" i="3" s="1"/>
  <c r="H187" i="3" s="1"/>
  <c r="H188" i="3" s="1"/>
  <c r="H189" i="3" s="1"/>
  <c r="H190" i="3" s="1"/>
  <c r="H191" i="3" s="1"/>
  <c r="H192" i="3" s="1"/>
  <c r="H193" i="3" s="1"/>
  <c r="H194" i="3" s="1"/>
  <c r="H195" i="3" s="1"/>
  <c r="H196" i="3" s="1"/>
  <c r="H197" i="3" s="1"/>
  <c r="H198" i="3" s="1"/>
  <c r="H199" i="3" s="1"/>
  <c r="H200" i="3" s="1"/>
  <c r="H201" i="3" s="1"/>
  <c r="H275" i="3" l="1"/>
  <c r="AF163" i="3" l="1"/>
  <c r="AF147" i="3"/>
  <c r="AF125" i="3"/>
  <c r="AF109" i="3"/>
  <c r="AF87" i="3"/>
  <c r="AF71" i="3"/>
  <c r="R129" i="3"/>
  <c r="S129" i="3"/>
  <c r="T129" i="3"/>
  <c r="U129" i="3"/>
  <c r="V129" i="3"/>
  <c r="Q129" i="3"/>
  <c r="R92" i="3"/>
  <c r="S92" i="3"/>
  <c r="T92" i="3"/>
  <c r="U92" i="3"/>
  <c r="V92" i="3"/>
  <c r="Q92" i="3"/>
  <c r="R55" i="3"/>
  <c r="S55" i="3"/>
  <c r="T55" i="3"/>
  <c r="U55" i="3"/>
  <c r="V55" i="3"/>
  <c r="Q55" i="3"/>
  <c r="J125" i="3"/>
  <c r="J162" i="3" s="1"/>
  <c r="J199" i="3" s="1"/>
  <c r="J236" i="3" s="1"/>
  <c r="J273" i="3" s="1"/>
  <c r="J310" i="3" s="1"/>
  <c r="J347" i="3" s="1"/>
  <c r="J384" i="3" s="1"/>
  <c r="J421" i="3" s="1"/>
  <c r="J113" i="3"/>
  <c r="J150" i="3" s="1"/>
  <c r="J187" i="3" s="1"/>
  <c r="J224" i="3" s="1"/>
  <c r="J261" i="3" s="1"/>
  <c r="J298" i="3" s="1"/>
  <c r="J335" i="3" s="1"/>
  <c r="J372" i="3" s="1"/>
  <c r="J409" i="3" s="1"/>
  <c r="J112" i="3"/>
  <c r="J149" i="3" s="1"/>
  <c r="J186" i="3" s="1"/>
  <c r="J223" i="3" s="1"/>
  <c r="J260" i="3" s="1"/>
  <c r="J297" i="3" s="1"/>
  <c r="J334" i="3" s="1"/>
  <c r="J371" i="3" s="1"/>
  <c r="J408" i="3" s="1"/>
  <c r="P162" i="3"/>
  <c r="J151" i="3"/>
  <c r="X133" i="3"/>
  <c r="Y133" i="3"/>
  <c r="Z133" i="3"/>
  <c r="AA133" i="3"/>
  <c r="AB133" i="3"/>
  <c r="AB131" i="3"/>
  <c r="AA131" i="3"/>
  <c r="Z131" i="3"/>
  <c r="Y131" i="3"/>
  <c r="X131" i="3"/>
  <c r="H128" i="3" l="1"/>
  <c r="H129" i="3" s="1"/>
  <c r="H130" i="3" s="1"/>
  <c r="H131" i="3" s="1"/>
  <c r="H132" i="3" s="1"/>
  <c r="H133" i="3" s="1"/>
  <c r="H134" i="3" s="1"/>
  <c r="H135" i="3" s="1"/>
  <c r="H136" i="3" s="1"/>
  <c r="H137" i="3" s="1"/>
  <c r="H138" i="3" s="1"/>
  <c r="H139" i="3" s="1"/>
  <c r="H140" i="3" s="1"/>
  <c r="H141" i="3" s="1"/>
  <c r="H142" i="3" s="1"/>
  <c r="H143" i="3" s="1"/>
  <c r="H144" i="3" s="1"/>
  <c r="H145" i="3" s="1"/>
  <c r="H146" i="3" s="1"/>
  <c r="H147" i="3" s="1"/>
  <c r="H148" i="3" s="1"/>
  <c r="H149" i="3" s="1"/>
  <c r="H150" i="3" s="1"/>
  <c r="H151" i="3" s="1"/>
  <c r="H152" i="3" s="1"/>
  <c r="H153" i="3" s="1"/>
  <c r="H154" i="3" s="1"/>
  <c r="H155" i="3" s="1"/>
  <c r="H156" i="3" s="1"/>
  <c r="H157" i="3" s="1"/>
  <c r="H158" i="3" s="1"/>
  <c r="H159" i="3" s="1"/>
  <c r="H160" i="3" s="1"/>
  <c r="H161" i="3" s="1"/>
  <c r="H162" i="3" s="1"/>
  <c r="H91" i="3"/>
  <c r="H92" i="3" s="1"/>
  <c r="H93" i="3" s="1"/>
  <c r="H94" i="3" s="1"/>
  <c r="H95" i="3" s="1"/>
  <c r="H96" i="3" s="1"/>
  <c r="H97" i="3" s="1"/>
  <c r="H98" i="3" s="1"/>
  <c r="H99" i="3" s="1"/>
  <c r="H100" i="3" s="1"/>
  <c r="H101" i="3" s="1"/>
  <c r="H102" i="3" s="1"/>
  <c r="H103" i="3" s="1"/>
  <c r="H104" i="3" s="1"/>
  <c r="H105" i="3" s="1"/>
  <c r="H106" i="3" s="1"/>
  <c r="H107" i="3" s="1"/>
  <c r="H108" i="3" s="1"/>
  <c r="H109" i="3" s="1"/>
  <c r="H110" i="3" s="1"/>
  <c r="H111" i="3" s="1"/>
  <c r="H112" i="3" s="1"/>
  <c r="H113" i="3" s="1"/>
  <c r="H114" i="3" s="1"/>
  <c r="H115" i="3" s="1"/>
  <c r="H116" i="3" s="1"/>
  <c r="H117" i="3" s="1"/>
  <c r="H118" i="3" s="1"/>
  <c r="H119" i="3" s="1"/>
  <c r="H120" i="3" s="1"/>
  <c r="H121" i="3" s="1"/>
  <c r="H122" i="3" s="1"/>
  <c r="H123" i="3" s="1"/>
  <c r="H124" i="3" s="1"/>
  <c r="H125" i="3" s="1"/>
  <c r="H54" i="3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J95" i="3"/>
  <c r="J132" i="3" s="1"/>
  <c r="J96" i="3"/>
  <c r="J133" i="3" s="1"/>
  <c r="J97" i="3"/>
  <c r="J134" i="3" s="1"/>
  <c r="J98" i="3"/>
  <c r="J135" i="3" s="1"/>
  <c r="J99" i="3"/>
  <c r="J136" i="3" s="1"/>
  <c r="J100" i="3"/>
  <c r="J137" i="3" s="1"/>
  <c r="J101" i="3"/>
  <c r="J138" i="3" s="1"/>
  <c r="J102" i="3"/>
  <c r="J139" i="3" s="1"/>
  <c r="J103" i="3"/>
  <c r="J140" i="3" s="1"/>
  <c r="J104" i="3"/>
  <c r="J141" i="3" s="1"/>
  <c r="J94" i="3"/>
  <c r="J131" i="3" s="1"/>
  <c r="H126" i="3" l="1"/>
  <c r="H127" i="3" s="1"/>
  <c r="H163" i="3"/>
  <c r="H164" i="3" s="1"/>
  <c r="H89" i="3"/>
  <c r="H90" i="3" s="1"/>
  <c r="P124" i="3" l="1"/>
  <c r="Y94" i="3"/>
  <c r="X94" i="3"/>
  <c r="AA94" i="3"/>
  <c r="AB94" i="3"/>
  <c r="Z94" i="3"/>
  <c r="O40" i="3" l="1"/>
  <c r="F167" i="3"/>
  <c r="R388" i="3" l="1"/>
  <c r="S388" i="3"/>
  <c r="T388" i="3"/>
  <c r="U388" i="3"/>
  <c r="V388" i="3"/>
  <c r="X388" i="3"/>
  <c r="Q388" i="3"/>
  <c r="F389" i="3"/>
  <c r="F352" i="3"/>
  <c r="F315" i="3"/>
  <c r="F278" i="3"/>
  <c r="F241" i="3"/>
  <c r="F130" i="3"/>
  <c r="F204" i="3"/>
  <c r="F93" i="3"/>
  <c r="O46" i="3"/>
  <c r="O45" i="3"/>
  <c r="O44" i="3"/>
  <c r="O43" i="3"/>
  <c r="O42" i="3"/>
  <c r="O39" i="3"/>
  <c r="O41" i="3"/>
  <c r="O38" i="3"/>
  <c r="O240" i="3" l="1"/>
  <c r="F56" i="3"/>
  <c r="O37" i="3"/>
  <c r="O277" i="3" l="1"/>
  <c r="O314" i="3"/>
  <c r="O351" i="3"/>
  <c r="O388" i="3"/>
  <c r="O55" i="3"/>
  <c r="O129" i="3"/>
  <c r="O92" i="3"/>
  <c r="O166" i="3"/>
  <c r="O203" i="3"/>
  <c r="O266" i="3" l="1"/>
  <c r="O262" i="3"/>
  <c r="O267" i="3" s="1"/>
  <c r="O273" i="3"/>
  <c r="G51" i="3"/>
  <c r="H51" i="3" s="1"/>
  <c r="I51" i="3" s="1"/>
  <c r="J51" i="3" s="1"/>
  <c r="K51" i="3" s="1"/>
  <c r="L51" i="3" s="1"/>
  <c r="M51" i="3" s="1"/>
  <c r="N51" i="3" s="1"/>
  <c r="O51" i="3" s="1"/>
  <c r="I54" i="3"/>
  <c r="I55" i="3" s="1"/>
  <c r="I56" i="3" s="1"/>
  <c r="I59" i="3" s="1"/>
  <c r="O56" i="3"/>
  <c r="S56" i="3" s="1"/>
  <c r="J68" i="3"/>
  <c r="J105" i="3" s="1"/>
  <c r="J142" i="3" s="1"/>
  <c r="J179" i="3" s="1"/>
  <c r="J216" i="3" s="1"/>
  <c r="J253" i="3" s="1"/>
  <c r="J290" i="3" s="1"/>
  <c r="J327" i="3" s="1"/>
  <c r="J364" i="3" s="1"/>
  <c r="J401" i="3" s="1"/>
  <c r="J69" i="3"/>
  <c r="J106" i="3" s="1"/>
  <c r="J143" i="3" s="1"/>
  <c r="J70" i="3"/>
  <c r="J107" i="3" s="1"/>
  <c r="J144" i="3" s="1"/>
  <c r="J71" i="3"/>
  <c r="J108" i="3" s="1"/>
  <c r="J145" i="3" s="1"/>
  <c r="J72" i="3"/>
  <c r="J109" i="3" s="1"/>
  <c r="J146" i="3" s="1"/>
  <c r="J73" i="3"/>
  <c r="J110" i="3" s="1"/>
  <c r="J147" i="3" s="1"/>
  <c r="J74" i="3"/>
  <c r="J111" i="3" s="1"/>
  <c r="J148" i="3" s="1"/>
  <c r="P87" i="3"/>
  <c r="K93" i="3"/>
  <c r="K99" i="3"/>
  <c r="K100" i="3"/>
  <c r="K101" i="3"/>
  <c r="K102" i="3"/>
  <c r="K103" i="3"/>
  <c r="K104" i="3"/>
  <c r="I165" i="3"/>
  <c r="I166" i="3" s="1"/>
  <c r="I167" i="3" s="1"/>
  <c r="I168" i="3" s="1"/>
  <c r="I169" i="3" s="1"/>
  <c r="I171" i="3" s="1"/>
  <c r="I172" i="3" s="1"/>
  <c r="I173" i="3" s="1"/>
  <c r="I174" i="3" s="1"/>
  <c r="I175" i="3" s="1"/>
  <c r="I176" i="3" s="1"/>
  <c r="I177" i="3" s="1"/>
  <c r="I178" i="3" s="1"/>
  <c r="K167" i="3"/>
  <c r="J172" i="3"/>
  <c r="J173" i="3"/>
  <c r="K173" i="3"/>
  <c r="J174" i="3"/>
  <c r="K174" i="3"/>
  <c r="J175" i="3"/>
  <c r="K175" i="3"/>
  <c r="J176" i="3"/>
  <c r="K176" i="3"/>
  <c r="J177" i="3"/>
  <c r="K177" i="3"/>
  <c r="J178" i="3"/>
  <c r="K178" i="3"/>
  <c r="J180" i="3"/>
  <c r="J181" i="3"/>
  <c r="J182" i="3"/>
  <c r="J183" i="3"/>
  <c r="J184" i="3"/>
  <c r="J185" i="3"/>
  <c r="K204" i="3"/>
  <c r="X205" i="3"/>
  <c r="Y205" i="3"/>
  <c r="Z205" i="3"/>
  <c r="K210" i="3"/>
  <c r="K211" i="3"/>
  <c r="K212" i="3"/>
  <c r="K213" i="3"/>
  <c r="K214" i="3"/>
  <c r="K215" i="3"/>
  <c r="P235" i="3"/>
  <c r="I128" i="3"/>
  <c r="I129" i="3" s="1"/>
  <c r="I130" i="3" s="1"/>
  <c r="K130" i="3"/>
  <c r="K136" i="3"/>
  <c r="K137" i="3"/>
  <c r="K138" i="3"/>
  <c r="K139" i="3"/>
  <c r="K140" i="3"/>
  <c r="K141" i="3"/>
  <c r="I239" i="3"/>
  <c r="I240" i="3" s="1"/>
  <c r="I241" i="3" s="1"/>
  <c r="K241" i="3"/>
  <c r="K247" i="3"/>
  <c r="K248" i="3"/>
  <c r="K249" i="3"/>
  <c r="K250" i="3"/>
  <c r="K251" i="3"/>
  <c r="K252" i="3"/>
  <c r="P272" i="3"/>
  <c r="I276" i="3"/>
  <c r="I277" i="3" s="1"/>
  <c r="I278" i="3" s="1"/>
  <c r="I279" i="3" s="1"/>
  <c r="I280" i="3" s="1"/>
  <c r="I282" i="3" s="1"/>
  <c r="I283" i="3" s="1"/>
  <c r="I284" i="3" s="1"/>
  <c r="I285" i="3" s="1"/>
  <c r="I286" i="3" s="1"/>
  <c r="I287" i="3" s="1"/>
  <c r="I288" i="3" s="1"/>
  <c r="I289" i="3" s="1"/>
  <c r="I290" i="3" s="1"/>
  <c r="I291" i="3" s="1"/>
  <c r="I292" i="3" s="1"/>
  <c r="I293" i="3" s="1"/>
  <c r="I294" i="3" s="1"/>
  <c r="I295" i="3" s="1"/>
  <c r="I296" i="3" s="1"/>
  <c r="I297" i="3" s="1"/>
  <c r="I298" i="3" s="1"/>
  <c r="K278" i="3"/>
  <c r="X279" i="3"/>
  <c r="Y279" i="3"/>
  <c r="K284" i="3"/>
  <c r="K285" i="3"/>
  <c r="K286" i="3"/>
  <c r="K287" i="3"/>
  <c r="K288" i="3"/>
  <c r="K289" i="3"/>
  <c r="P309" i="3"/>
  <c r="I313" i="3"/>
  <c r="I314" i="3" s="1"/>
  <c r="I315" i="3" s="1"/>
  <c r="K315" i="3"/>
  <c r="K321" i="3"/>
  <c r="K322" i="3"/>
  <c r="K323" i="3"/>
  <c r="K324" i="3"/>
  <c r="K325" i="3"/>
  <c r="K326" i="3"/>
  <c r="X345" i="3"/>
  <c r="Y345" i="3"/>
  <c r="P346" i="3"/>
  <c r="K352" i="3"/>
  <c r="Z353" i="3"/>
  <c r="AA353" i="3"/>
  <c r="K358" i="3"/>
  <c r="K359" i="3"/>
  <c r="K360" i="3"/>
  <c r="K361" i="3"/>
  <c r="K362" i="3"/>
  <c r="K363" i="3"/>
  <c r="K389" i="3"/>
  <c r="K395" i="3"/>
  <c r="K396" i="3"/>
  <c r="K397" i="3"/>
  <c r="K398" i="3"/>
  <c r="K399" i="3"/>
  <c r="K400" i="3"/>
  <c r="O275" i="3" l="1"/>
  <c r="O263" i="3"/>
  <c r="O264" i="3" s="1"/>
  <c r="O269" i="3" s="1"/>
  <c r="O270" i="3" s="1"/>
  <c r="S167" i="3"/>
  <c r="S93" i="3"/>
  <c r="I91" i="3"/>
  <c r="I92" i="3" s="1"/>
  <c r="I93" i="3" s="1"/>
  <c r="I98" i="3" s="1"/>
  <c r="I99" i="3" s="1"/>
  <c r="I100" i="3" s="1"/>
  <c r="I101" i="3" s="1"/>
  <c r="I102" i="3" s="1"/>
  <c r="I103" i="3" s="1"/>
  <c r="I104" i="3" s="1"/>
  <c r="I350" i="3"/>
  <c r="I351" i="3" s="1"/>
  <c r="I352" i="3" s="1"/>
  <c r="I353" i="3" s="1"/>
  <c r="I354" i="3" s="1"/>
  <c r="I355" i="3" s="1"/>
  <c r="I356" i="3" s="1"/>
  <c r="I357" i="3" s="1"/>
  <c r="I358" i="3" s="1"/>
  <c r="I359" i="3" s="1"/>
  <c r="I360" i="3" s="1"/>
  <c r="I361" i="3" s="1"/>
  <c r="I362" i="3" s="1"/>
  <c r="I363" i="3" s="1"/>
  <c r="I316" i="3"/>
  <c r="I317" i="3" s="1"/>
  <c r="I319" i="3" s="1"/>
  <c r="I320" i="3"/>
  <c r="I321" i="3" s="1"/>
  <c r="I322" i="3" s="1"/>
  <c r="I323" i="3" s="1"/>
  <c r="I324" i="3" s="1"/>
  <c r="I325" i="3" s="1"/>
  <c r="I326" i="3" s="1"/>
  <c r="I327" i="3" s="1"/>
  <c r="I328" i="3" s="1"/>
  <c r="I329" i="3" s="1"/>
  <c r="I330" i="3" s="1"/>
  <c r="I331" i="3" s="1"/>
  <c r="I332" i="3" s="1"/>
  <c r="I333" i="3" s="1"/>
  <c r="I334" i="3" s="1"/>
  <c r="I335" i="3" s="1"/>
  <c r="I336" i="3" s="1"/>
  <c r="I337" i="3" s="1"/>
  <c r="I338" i="3" s="1"/>
  <c r="I339" i="3" s="1"/>
  <c r="I340" i="3" s="1"/>
  <c r="I341" i="3" s="1"/>
  <c r="I342" i="3" s="1"/>
  <c r="I343" i="3" s="1"/>
  <c r="I344" i="3" s="1"/>
  <c r="I345" i="3" s="1"/>
  <c r="I346" i="3" s="1"/>
  <c r="I347" i="3" s="1"/>
  <c r="I348" i="3" s="1"/>
  <c r="I387" i="3"/>
  <c r="I388" i="3" s="1"/>
  <c r="I389" i="3" s="1"/>
  <c r="I390" i="3" s="1"/>
  <c r="I391" i="3" s="1"/>
  <c r="I392" i="3" s="1"/>
  <c r="I393" i="3" s="1"/>
  <c r="I394" i="3" s="1"/>
  <c r="I395" i="3" s="1"/>
  <c r="I396" i="3" s="1"/>
  <c r="I397" i="3" s="1"/>
  <c r="I398" i="3" s="1"/>
  <c r="I399" i="3" s="1"/>
  <c r="I400" i="3" s="1"/>
  <c r="I401" i="3" s="1"/>
  <c r="I402" i="3" s="1"/>
  <c r="I403" i="3" s="1"/>
  <c r="I404" i="3" s="1"/>
  <c r="I405" i="3" s="1"/>
  <c r="I406" i="3" s="1"/>
  <c r="I407" i="3" s="1"/>
  <c r="I408" i="3" s="1"/>
  <c r="I409" i="3" s="1"/>
  <c r="I242" i="3"/>
  <c r="I243" i="3" s="1"/>
  <c r="I245" i="3" s="1"/>
  <c r="I246" i="3"/>
  <c r="I247" i="3" s="1"/>
  <c r="I248" i="3" s="1"/>
  <c r="I249" i="3" s="1"/>
  <c r="I250" i="3" s="1"/>
  <c r="I251" i="3" s="1"/>
  <c r="I252" i="3" s="1"/>
  <c r="I253" i="3" s="1"/>
  <c r="I254" i="3" s="1"/>
  <c r="I255" i="3" s="1"/>
  <c r="I256" i="3" s="1"/>
  <c r="I257" i="3" s="1"/>
  <c r="I258" i="3" s="1"/>
  <c r="I259" i="3" s="1"/>
  <c r="I260" i="3" s="1"/>
  <c r="I135" i="3"/>
  <c r="I136" i="3" s="1"/>
  <c r="I137" i="3" s="1"/>
  <c r="I138" i="3" s="1"/>
  <c r="I139" i="3" s="1"/>
  <c r="I140" i="3" s="1"/>
  <c r="I141" i="3" s="1"/>
  <c r="I131" i="3"/>
  <c r="I132" i="3" s="1"/>
  <c r="I134" i="3" s="1"/>
  <c r="I57" i="3"/>
  <c r="I60" i="3" s="1"/>
  <c r="I62" i="3" s="1"/>
  <c r="I64" i="3" s="1"/>
  <c r="I66" i="3" s="1"/>
  <c r="I58" i="3"/>
  <c r="I61" i="3" s="1"/>
  <c r="I63" i="3" s="1"/>
  <c r="I65" i="3" s="1"/>
  <c r="I67" i="3" s="1"/>
  <c r="O268" i="3" l="1"/>
  <c r="I94" i="3"/>
  <c r="I95" i="3" s="1"/>
  <c r="I97" i="3" s="1"/>
  <c r="I202" i="3" l="1"/>
  <c r="I203" i="3" s="1"/>
  <c r="I204" i="3" s="1"/>
  <c r="I205" i="3" l="1"/>
  <c r="I206" i="3" s="1"/>
  <c r="I208" i="3" s="1"/>
  <c r="I209" i="3"/>
  <c r="I210" i="3" s="1"/>
  <c r="I211" i="3" s="1"/>
  <c r="I212" i="3" s="1"/>
  <c r="I213" i="3" s="1"/>
  <c r="I214" i="3" s="1"/>
  <c r="I215" i="3" s="1"/>
  <c r="I216" i="3" s="1"/>
  <c r="I217" i="3" s="1"/>
  <c r="I218" i="3" s="1"/>
  <c r="I219" i="3" s="1"/>
  <c r="I220" i="3" s="1"/>
  <c r="I221" i="3" s="1"/>
  <c r="I222" i="3" s="1"/>
  <c r="I223" i="3" s="1"/>
  <c r="I224" i="3" s="1"/>
  <c r="I225" i="3" s="1"/>
  <c r="I226" i="3" s="1"/>
  <c r="I227" i="3" s="1"/>
  <c r="I228" i="3" s="1"/>
  <c r="I229" i="3" s="1"/>
  <c r="I230" i="3" s="1"/>
  <c r="I231" i="3" s="1"/>
  <c r="I232" i="3" s="1"/>
  <c r="I233" i="3" s="1"/>
  <c r="I234" i="3" s="1"/>
  <c r="I235" i="3" s="1"/>
  <c r="I236" i="3" s="1"/>
  <c r="I237" i="3" s="1"/>
  <c r="O155" i="3" l="1"/>
  <c r="O151" i="3"/>
  <c r="O225" i="3"/>
  <c r="O229" i="3"/>
  <c r="O192" i="3"/>
  <c r="O118" i="3"/>
  <c r="O199" i="3"/>
  <c r="O201" i="3" s="1"/>
  <c r="O188" i="3" l="1"/>
  <c r="O236" i="3"/>
  <c r="O238" i="3" s="1"/>
  <c r="O88" i="3"/>
  <c r="O90" i="3" s="1"/>
  <c r="O125" i="3"/>
  <c r="O127" i="3" s="1"/>
  <c r="O162" i="3"/>
  <c r="O164" i="3" s="1"/>
  <c r="O81" i="3"/>
  <c r="M58" i="3"/>
  <c r="O114" i="3"/>
  <c r="O119" i="3" s="1"/>
  <c r="O138" i="3"/>
  <c r="O140" i="3" s="1"/>
  <c r="O141" i="3" s="1"/>
  <c r="O128" i="3" s="1"/>
  <c r="O64" i="3"/>
  <c r="O66" i="3" s="1"/>
  <c r="O67" i="3" s="1"/>
  <c r="O54" i="3" s="1"/>
  <c r="O77" i="3"/>
  <c r="O175" i="3"/>
  <c r="O177" i="3" s="1"/>
  <c r="O178" i="3" s="1"/>
  <c r="O165" i="3" s="1"/>
  <c r="O249" i="3"/>
  <c r="O251" i="3" s="1"/>
  <c r="O252" i="3" s="1"/>
  <c r="O239" i="3" s="1"/>
  <c r="O101" i="3"/>
  <c r="O103" i="3" s="1"/>
  <c r="O104" i="3" s="1"/>
  <c r="O91" i="3" s="1"/>
  <c r="O212" i="3"/>
  <c r="O214" i="3" s="1"/>
  <c r="O215" i="3" s="1"/>
  <c r="O202" i="3" s="1"/>
  <c r="O226" i="3" l="1"/>
  <c r="O227" i="3" s="1"/>
  <c r="O189" i="3"/>
  <c r="O190" i="3" s="1"/>
  <c r="O152" i="3"/>
  <c r="O153" i="3" s="1"/>
  <c r="O230" i="3"/>
  <c r="O156" i="3"/>
  <c r="O115" i="3"/>
  <c r="O116" i="3" s="1"/>
  <c r="O121" i="3" s="1"/>
  <c r="O122" i="3" s="1"/>
  <c r="O78" i="3"/>
  <c r="O79" i="3" s="1"/>
  <c r="O82" i="3"/>
  <c r="O193" i="3"/>
  <c r="O120" i="3" l="1"/>
  <c r="O83" i="3"/>
  <c r="O84" i="3"/>
  <c r="O85" i="3" s="1"/>
  <c r="O194" i="3"/>
  <c r="O195" i="3"/>
  <c r="O196" i="3" s="1"/>
  <c r="O232" i="3"/>
  <c r="O233" i="3" s="1"/>
  <c r="O231" i="3"/>
  <c r="O157" i="3"/>
  <c r="O158" i="3"/>
  <c r="O159" i="3" s="1"/>
  <c r="Z172" i="3" l="1"/>
  <c r="AA290" i="3"/>
  <c r="AA260" i="3"/>
  <c r="AA287" i="3"/>
  <c r="Z179" i="3"/>
  <c r="Z171" i="3"/>
  <c r="AA250" i="3"/>
  <c r="Z174" i="3"/>
  <c r="AA283" i="3"/>
  <c r="AA356" i="3"/>
  <c r="Z181" i="3"/>
  <c r="Z176" i="3"/>
  <c r="AA285" i="3"/>
  <c r="Z186" i="3"/>
  <c r="AA253" i="3"/>
  <c r="AB137" i="3" l="1"/>
  <c r="Z290" i="3"/>
  <c r="AB134" i="3"/>
  <c r="X322" i="3"/>
  <c r="X105" i="3"/>
  <c r="Q229" i="3"/>
  <c r="AB260" i="3"/>
  <c r="AB328" i="3"/>
  <c r="AA105" i="3"/>
  <c r="T229" i="3"/>
  <c r="Z105" i="3"/>
  <c r="X283" i="3"/>
  <c r="AB174" i="3"/>
  <c r="Y346" i="3"/>
  <c r="S192" i="3"/>
  <c r="Y287" i="3"/>
  <c r="Y97" i="3"/>
  <c r="Y137" i="3"/>
  <c r="AA322" i="3"/>
  <c r="X97" i="3"/>
  <c r="Y322" i="3"/>
  <c r="X287" i="3"/>
  <c r="AA137" i="3"/>
  <c r="V355" i="3"/>
  <c r="V377" i="3" s="1"/>
  <c r="X260" i="3"/>
  <c r="Z137" i="3"/>
  <c r="R88" i="3"/>
  <c r="AB329" i="3"/>
  <c r="S384" i="3"/>
  <c r="S386" i="3" s="1"/>
  <c r="Y260" i="3"/>
  <c r="Z213" i="3"/>
  <c r="X334" i="3"/>
  <c r="AA324" i="3"/>
  <c r="AA142" i="3"/>
  <c r="Y213" i="3"/>
  <c r="AA334" i="3"/>
  <c r="AB142" i="3"/>
  <c r="AB144" i="3"/>
  <c r="X171" i="3"/>
  <c r="X324" i="3"/>
  <c r="S118" i="3"/>
  <c r="AB179" i="3"/>
  <c r="T421" i="3"/>
  <c r="X172" i="3"/>
  <c r="AB172" i="3"/>
  <c r="Y334" i="3"/>
  <c r="X96" i="3"/>
  <c r="X331" i="3"/>
  <c r="AA179" i="3"/>
  <c r="AA172" i="3"/>
  <c r="AB102" i="3"/>
  <c r="X179" i="3"/>
  <c r="R310" i="3"/>
  <c r="Y172" i="3"/>
  <c r="Y179" i="3"/>
  <c r="Y60" i="3"/>
  <c r="Y72" i="3"/>
  <c r="U192" i="3"/>
  <c r="U392" i="3"/>
  <c r="U414" i="3" s="1"/>
  <c r="U421" i="3"/>
  <c r="U423" i="3" s="1"/>
  <c r="AB65" i="3"/>
  <c r="Y134" i="3"/>
  <c r="Y146" i="3"/>
  <c r="AB181" i="3"/>
  <c r="Z287" i="3"/>
  <c r="X106" i="3"/>
  <c r="Z149" i="3"/>
  <c r="V392" i="3"/>
  <c r="V414" i="3" s="1"/>
  <c r="R421" i="3"/>
  <c r="R423" i="3" s="1"/>
  <c r="X145" i="3"/>
  <c r="AA257" i="3"/>
  <c r="Y176" i="3"/>
  <c r="U310" i="3"/>
  <c r="S273" i="3"/>
  <c r="R192" i="3"/>
  <c r="V229" i="3"/>
  <c r="AA97" i="3"/>
  <c r="Z180" i="3"/>
  <c r="R392" i="3"/>
  <c r="R414" i="3" s="1"/>
  <c r="AA149" i="3"/>
  <c r="Y68" i="3"/>
  <c r="AA68" i="3"/>
  <c r="Z68" i="3"/>
  <c r="Y149" i="3"/>
  <c r="U273" i="3"/>
  <c r="AA292" i="3"/>
  <c r="AB171" i="3"/>
  <c r="X68" i="3"/>
  <c r="Z134" i="3"/>
  <c r="Q355" i="3"/>
  <c r="Q377" i="3" s="1"/>
  <c r="T384" i="3"/>
  <c r="T386" i="3" s="1"/>
  <c r="Y283" i="3"/>
  <c r="Y324" i="3"/>
  <c r="Z285" i="3"/>
  <c r="AB112" i="3"/>
  <c r="Q392" i="3"/>
  <c r="Q414" i="3" s="1"/>
  <c r="Z106" i="3"/>
  <c r="AA100" i="3"/>
  <c r="AA256" i="3"/>
  <c r="Z356" i="3"/>
  <c r="Z75" i="3"/>
  <c r="AA112" i="3"/>
  <c r="AB176" i="3"/>
  <c r="X181" i="3"/>
  <c r="X290" i="3"/>
  <c r="Z100" i="3"/>
  <c r="Z144" i="3"/>
  <c r="Q192" i="3"/>
  <c r="U229" i="3"/>
  <c r="Y98" i="3"/>
  <c r="R273" i="3"/>
  <c r="Y285" i="3"/>
  <c r="AB287" i="3"/>
  <c r="AB97" i="3"/>
  <c r="T192" i="3"/>
  <c r="Z184" i="3"/>
  <c r="Y211" i="3"/>
  <c r="X250" i="3"/>
  <c r="AA291" i="3"/>
  <c r="AA293" i="3"/>
  <c r="AB75" i="3"/>
  <c r="T392" i="3"/>
  <c r="T414" i="3" s="1"/>
  <c r="Z182" i="3"/>
  <c r="Y290" i="3"/>
  <c r="S421" i="3"/>
  <c r="X98" i="3"/>
  <c r="Z102" i="3"/>
  <c r="X102" i="3"/>
  <c r="X65" i="3"/>
  <c r="AA65" i="3"/>
  <c r="Z112" i="3"/>
  <c r="Y105" i="3"/>
  <c r="AA176" i="3"/>
  <c r="AA63" i="3"/>
  <c r="AB60" i="3"/>
  <c r="Z60" i="3"/>
  <c r="S155" i="3"/>
  <c r="X285" i="3"/>
  <c r="T88" i="3"/>
  <c r="Z63" i="3"/>
  <c r="Z135" i="3"/>
  <c r="AB105" i="3"/>
  <c r="O373" i="3"/>
  <c r="O378" i="3" s="1"/>
  <c r="O360" i="3"/>
  <c r="O362" i="3" s="1"/>
  <c r="O363" i="3" s="1"/>
  <c r="T125" i="3"/>
  <c r="Z113" i="3"/>
  <c r="Y111" i="3"/>
  <c r="U64" i="3"/>
  <c r="AA62" i="3"/>
  <c r="U77" i="3"/>
  <c r="R410" i="3"/>
  <c r="R397" i="3"/>
  <c r="R399" i="3" s="1"/>
  <c r="R400" i="3" s="1"/>
  <c r="Y181" i="3"/>
  <c r="O392" i="3"/>
  <c r="O414" i="3" s="1"/>
  <c r="Q81" i="3"/>
  <c r="X58" i="3"/>
  <c r="Q151" i="3"/>
  <c r="X136" i="3"/>
  <c r="Q138" i="3"/>
  <c r="X108" i="3"/>
  <c r="O410" i="3"/>
  <c r="O415" i="3" s="1"/>
  <c r="O397" i="3"/>
  <c r="O399" i="3" s="1"/>
  <c r="O400" i="3" s="1"/>
  <c r="V410" i="3"/>
  <c r="V397" i="3"/>
  <c r="V399" i="3" s="1"/>
  <c r="V400" i="3" s="1"/>
  <c r="U410" i="3"/>
  <c r="U397" i="3"/>
  <c r="U399" i="3" s="1"/>
  <c r="U400" i="3" s="1"/>
  <c r="S162" i="3"/>
  <c r="R138" i="3"/>
  <c r="Y136" i="3"/>
  <c r="R151" i="3"/>
  <c r="V64" i="3"/>
  <c r="AB62" i="3"/>
  <c r="V77" i="3"/>
  <c r="V138" i="3"/>
  <c r="AB136" i="3"/>
  <c r="V151" i="3"/>
  <c r="O355" i="3"/>
  <c r="O377" i="3" s="1"/>
  <c r="AB331" i="3"/>
  <c r="Z331" i="3"/>
  <c r="Y106" i="3"/>
  <c r="AA111" i="3"/>
  <c r="AA106" i="3"/>
  <c r="Q162" i="3"/>
  <c r="X150" i="3"/>
  <c r="AB111" i="3"/>
  <c r="AB106" i="3"/>
  <c r="Z139" i="3"/>
  <c r="X59" i="3"/>
  <c r="Q410" i="3"/>
  <c r="Q397" i="3"/>
  <c r="Q399" i="3" s="1"/>
  <c r="Q400" i="3" s="1"/>
  <c r="S77" i="3"/>
  <c r="S64" i="3"/>
  <c r="S66" i="3" s="1"/>
  <c r="S67" i="3" s="1"/>
  <c r="X99" i="3"/>
  <c r="Q114" i="3"/>
  <c r="Q101" i="3"/>
  <c r="V88" i="3"/>
  <c r="X75" i="3"/>
  <c r="Y62" i="3"/>
  <c r="R64" i="3"/>
  <c r="R77" i="3"/>
  <c r="O336" i="3"/>
  <c r="O323" i="3"/>
  <c r="O325" i="3" s="1"/>
  <c r="O326" i="3" s="1"/>
  <c r="O340" i="3"/>
  <c r="V421" i="3"/>
  <c r="T410" i="3"/>
  <c r="T397" i="3"/>
  <c r="T399" i="3" s="1"/>
  <c r="T400" i="3" s="1"/>
  <c r="Y63" i="3"/>
  <c r="Y132" i="3"/>
  <c r="R155" i="3"/>
  <c r="AB99" i="3"/>
  <c r="V101" i="3"/>
  <c r="V114" i="3"/>
  <c r="Z142" i="3"/>
  <c r="Z111" i="3"/>
  <c r="S88" i="3"/>
  <c r="Y59" i="3"/>
  <c r="V118" i="3"/>
  <c r="AB95" i="3"/>
  <c r="Z65" i="3"/>
  <c r="AA148" i="3"/>
  <c r="T155" i="3"/>
  <c r="Z132" i="3"/>
  <c r="S392" i="3"/>
  <c r="S414" i="3" s="1"/>
  <c r="S410" i="3"/>
  <c r="S397" i="3"/>
  <c r="S399" i="3" s="1"/>
  <c r="S400" i="3" s="1"/>
  <c r="AB100" i="3"/>
  <c r="Z74" i="3"/>
  <c r="AB132" i="3"/>
  <c r="V155" i="3"/>
  <c r="X112" i="3"/>
  <c r="AB58" i="3"/>
  <c r="V81" i="3"/>
  <c r="AB149" i="3"/>
  <c r="Z98" i="3"/>
  <c r="R101" i="3"/>
  <c r="R114" i="3"/>
  <c r="Y99" i="3"/>
  <c r="AA102" i="3"/>
  <c r="AA59" i="3"/>
  <c r="X137" i="3"/>
  <c r="Y243" i="3"/>
  <c r="R266" i="3"/>
  <c r="AA280" i="3"/>
  <c r="T303" i="3"/>
  <c r="R336" i="3"/>
  <c r="R323" i="3"/>
  <c r="Y321" i="3"/>
  <c r="X253" i="3"/>
  <c r="R229" i="3"/>
  <c r="X206" i="3"/>
  <c r="Y259" i="3"/>
  <c r="Y296" i="3"/>
  <c r="X332" i="3"/>
  <c r="R175" i="3"/>
  <c r="R188" i="3"/>
  <c r="Y173" i="3"/>
  <c r="V225" i="3"/>
  <c r="V212" i="3"/>
  <c r="V214" i="3" s="1"/>
  <c r="V215" i="3" s="1"/>
  <c r="X187" i="3"/>
  <c r="Q199" i="3"/>
  <c r="Z361" i="3"/>
  <c r="T225" i="3"/>
  <c r="T212" i="3"/>
  <c r="Z210" i="3"/>
  <c r="AB247" i="3"/>
  <c r="U262" i="3"/>
  <c r="U249" i="3"/>
  <c r="AA335" i="3"/>
  <c r="T347" i="3"/>
  <c r="V373" i="3"/>
  <c r="V360" i="3"/>
  <c r="V362" i="3" s="1"/>
  <c r="V363" i="3" s="1"/>
  <c r="U236" i="3"/>
  <c r="Q340" i="3"/>
  <c r="X317" i="3"/>
  <c r="V175" i="3"/>
  <c r="V177" i="3" s="1"/>
  <c r="V178" i="3" s="1"/>
  <c r="V188" i="3"/>
  <c r="Z211" i="3"/>
  <c r="Y335" i="3"/>
  <c r="R347" i="3"/>
  <c r="U199" i="3"/>
  <c r="AB187" i="3"/>
  <c r="S236" i="3"/>
  <c r="S238" i="3" s="1"/>
  <c r="T188" i="3"/>
  <c r="AA173" i="3"/>
  <c r="T175" i="3"/>
  <c r="X211" i="3"/>
  <c r="X320" i="3"/>
  <c r="AA254" i="3"/>
  <c r="AA331" i="3"/>
  <c r="AA294" i="3"/>
  <c r="X284" i="3"/>
  <c r="Q286" i="3"/>
  <c r="Q299" i="3"/>
  <c r="Y327" i="3"/>
  <c r="AB185" i="3"/>
  <c r="Z260" i="3"/>
  <c r="R373" i="3"/>
  <c r="R360" i="3"/>
  <c r="Z358" i="3"/>
  <c r="AA171" i="3"/>
  <c r="S299" i="3"/>
  <c r="Z284" i="3"/>
  <c r="S286" i="3"/>
  <c r="AA333" i="3"/>
  <c r="AB186" i="3"/>
  <c r="T273" i="3"/>
  <c r="T310" i="3"/>
  <c r="S138" i="3"/>
  <c r="S140" i="3" s="1"/>
  <c r="S141" i="3" s="1"/>
  <c r="S151" i="3"/>
  <c r="V125" i="3"/>
  <c r="AB113" i="3"/>
  <c r="U151" i="3"/>
  <c r="AA136" i="3"/>
  <c r="U138" i="3"/>
  <c r="T162" i="3"/>
  <c r="Z150" i="3"/>
  <c r="AB148" i="3"/>
  <c r="O421" i="3"/>
  <c r="O423" i="3" s="1"/>
  <c r="X111" i="3"/>
  <c r="AB68" i="3"/>
  <c r="AB135" i="3"/>
  <c r="U118" i="3"/>
  <c r="AA95" i="3"/>
  <c r="R118" i="3"/>
  <c r="Y95" i="3"/>
  <c r="Q155" i="3"/>
  <c r="X132" i="3"/>
  <c r="AA75" i="3"/>
  <c r="S101" i="3"/>
  <c r="S103" i="3" s="1"/>
  <c r="S104" i="3" s="1"/>
  <c r="S114" i="3"/>
  <c r="AB74" i="3"/>
  <c r="Y142" i="3"/>
  <c r="O347" i="3"/>
  <c r="O349" i="3" s="1"/>
  <c r="AA144" i="3"/>
  <c r="Y75" i="3"/>
  <c r="S125" i="3"/>
  <c r="Y74" i="3"/>
  <c r="Y144" i="3"/>
  <c r="Y148" i="3"/>
  <c r="Y102" i="3"/>
  <c r="Z96" i="3"/>
  <c r="X60" i="3"/>
  <c r="AB63" i="3"/>
  <c r="Y61" i="3"/>
  <c r="AA134" i="3"/>
  <c r="Z148" i="3"/>
  <c r="R212" i="3"/>
  <c r="R225" i="3"/>
  <c r="X210" i="3"/>
  <c r="S262" i="3"/>
  <c r="Z247" i="3"/>
  <c r="S249" i="3"/>
  <c r="U286" i="3"/>
  <c r="AB284" i="3"/>
  <c r="U299" i="3"/>
  <c r="Y333" i="3"/>
  <c r="Q249" i="3"/>
  <c r="X247" i="3"/>
  <c r="Q262" i="3"/>
  <c r="Z187" i="3"/>
  <c r="S199" i="3"/>
  <c r="Q236" i="3"/>
  <c r="Q238" i="3" s="1"/>
  <c r="Z259" i="3"/>
  <c r="Z296" i="3"/>
  <c r="Z243" i="3"/>
  <c r="S266" i="3"/>
  <c r="U303" i="3"/>
  <c r="AB280" i="3"/>
  <c r="S323" i="3"/>
  <c r="S336" i="3"/>
  <c r="Z321" i="3"/>
  <c r="AB321" i="3"/>
  <c r="X259" i="3"/>
  <c r="AB296" i="3"/>
  <c r="S373" i="3"/>
  <c r="S360" i="3"/>
  <c r="AA358" i="3"/>
  <c r="Z183" i="3"/>
  <c r="AA185" i="3"/>
  <c r="Q360" i="3"/>
  <c r="Q362" i="3" s="1"/>
  <c r="Q363" i="3" s="1"/>
  <c r="Q373" i="3"/>
  <c r="Z322" i="3"/>
  <c r="AB322" i="3"/>
  <c r="R384" i="3"/>
  <c r="R386" i="3" s="1"/>
  <c r="Y185" i="3"/>
  <c r="AB259" i="3"/>
  <c r="AB283" i="3"/>
  <c r="X327" i="3"/>
  <c r="U384" i="3"/>
  <c r="AA255" i="3"/>
  <c r="AA174" i="3"/>
  <c r="X213" i="3"/>
  <c r="AB250" i="3"/>
  <c r="X346" i="3"/>
  <c r="S340" i="3"/>
  <c r="Z317" i="3"/>
  <c r="AB317" i="3"/>
  <c r="Y174" i="3"/>
  <c r="Z250" i="3"/>
  <c r="S355" i="3"/>
  <c r="S377" i="3" s="1"/>
  <c r="AA354" i="3"/>
  <c r="Y171" i="3"/>
  <c r="S229" i="3"/>
  <c r="Y206" i="3"/>
  <c r="Z206" i="3"/>
  <c r="X243" i="3"/>
  <c r="Q266" i="3"/>
  <c r="Z280" i="3"/>
  <c r="S303" i="3"/>
  <c r="Q336" i="3"/>
  <c r="X321" i="3"/>
  <c r="Q323" i="3"/>
  <c r="Q325" i="3" s="1"/>
  <c r="Q326" i="3" s="1"/>
  <c r="AB96" i="3"/>
  <c r="R125" i="3"/>
  <c r="Y113" i="3"/>
  <c r="U88" i="3"/>
  <c r="AA139" i="3"/>
  <c r="AB61" i="3"/>
  <c r="Y135" i="3"/>
  <c r="U125" i="3"/>
  <c r="AA113" i="3"/>
  <c r="Q64" i="3"/>
  <c r="X62" i="3"/>
  <c r="Q77" i="3"/>
  <c r="X148" i="3"/>
  <c r="O303" i="3"/>
  <c r="Q421" i="3"/>
  <c r="AA96" i="3"/>
  <c r="Q88" i="3"/>
  <c r="AB98" i="3"/>
  <c r="R81" i="3"/>
  <c r="Y58" i="3"/>
  <c r="T138" i="3"/>
  <c r="Z136" i="3"/>
  <c r="T151" i="3"/>
  <c r="X144" i="3"/>
  <c r="AA60" i="3"/>
  <c r="T118" i="3"/>
  <c r="Z95" i="3"/>
  <c r="AB139" i="3"/>
  <c r="Z58" i="3"/>
  <c r="T81" i="3"/>
  <c r="Z59" i="3"/>
  <c r="U81" i="3"/>
  <c r="AA58" i="3"/>
  <c r="AA135" i="3"/>
  <c r="Q125" i="3"/>
  <c r="X113" i="3"/>
  <c r="AB59" i="3"/>
  <c r="R162" i="3"/>
  <c r="Y150" i="3"/>
  <c r="X280" i="3"/>
  <c r="Q303" i="3"/>
  <c r="AB320" i="3"/>
  <c r="Z320" i="3"/>
  <c r="Y253" i="3"/>
  <c r="X296" i="3"/>
  <c r="U266" i="3"/>
  <c r="AB243" i="3"/>
  <c r="T199" i="3"/>
  <c r="AA187" i="3"/>
  <c r="R236" i="3"/>
  <c r="S225" i="3"/>
  <c r="S212" i="3"/>
  <c r="Y210" i="3"/>
  <c r="T249" i="3"/>
  <c r="AA247" i="3"/>
  <c r="T262" i="3"/>
  <c r="AB333" i="3"/>
  <c r="Z333" i="3"/>
  <c r="R199" i="3"/>
  <c r="Y187" i="3"/>
  <c r="T340" i="3"/>
  <c r="AA317" i="3"/>
  <c r="U175" i="3"/>
  <c r="AB173" i="3"/>
  <c r="U188" i="3"/>
  <c r="X335" i="3"/>
  <c r="Q347" i="3"/>
  <c r="U360" i="3"/>
  <c r="U362" i="3" s="1"/>
  <c r="U363" i="3" s="1"/>
  <c r="U373" i="3"/>
  <c r="Y331" i="3"/>
  <c r="V236" i="3"/>
  <c r="R340" i="3"/>
  <c r="Y317" i="3"/>
  <c r="S188" i="3"/>
  <c r="S175" i="3"/>
  <c r="Z173" i="3"/>
  <c r="AB285" i="3"/>
  <c r="Z334" i="3"/>
  <c r="AB334" i="3"/>
  <c r="V199" i="3"/>
  <c r="V201" i="3" s="1"/>
  <c r="T236" i="3"/>
  <c r="AA320" i="3"/>
  <c r="U355" i="3"/>
  <c r="U377" i="3" s="1"/>
  <c r="AA181" i="3"/>
  <c r="Y186" i="3"/>
  <c r="Q273" i="3"/>
  <c r="Q310" i="3"/>
  <c r="Z283" i="3"/>
  <c r="AB324" i="3"/>
  <c r="Z324" i="3"/>
  <c r="S310" i="3"/>
  <c r="AA361" i="3"/>
  <c r="Q225" i="3"/>
  <c r="Q212" i="3"/>
  <c r="Q214" i="3" s="1"/>
  <c r="Q215" i="3" s="1"/>
  <c r="R262" i="3"/>
  <c r="R249" i="3"/>
  <c r="Y247" i="3"/>
  <c r="T299" i="3"/>
  <c r="AA284" i="3"/>
  <c r="T286" i="3"/>
  <c r="X333" i="3"/>
  <c r="O384" i="3"/>
  <c r="O386" i="3" s="1"/>
  <c r="O299" i="3"/>
  <c r="O286" i="3"/>
  <c r="O288" i="3" s="1"/>
  <c r="O289" i="3" s="1"/>
  <c r="U162" i="3"/>
  <c r="AA150" i="3"/>
  <c r="Y100" i="3"/>
  <c r="X135" i="3"/>
  <c r="T101" i="3"/>
  <c r="Z99" i="3"/>
  <c r="T114" i="3"/>
  <c r="AB150" i="3"/>
  <c r="V162" i="3"/>
  <c r="Z61" i="3"/>
  <c r="AA74" i="3"/>
  <c r="O310" i="3"/>
  <c r="T64" i="3"/>
  <c r="Z62" i="3"/>
  <c r="T77" i="3"/>
  <c r="AA61" i="3"/>
  <c r="X100" i="3"/>
  <c r="Y139" i="3"/>
  <c r="Q118" i="3"/>
  <c r="X95" i="3"/>
  <c r="Y96" i="3"/>
  <c r="AA98" i="3"/>
  <c r="X74" i="3"/>
  <c r="X134" i="3"/>
  <c r="X149" i="3"/>
  <c r="AA99" i="3"/>
  <c r="U114" i="3"/>
  <c r="U101" i="3"/>
  <c r="X61" i="3"/>
  <c r="X142" i="3"/>
  <c r="X63" i="3"/>
  <c r="Y65" i="3"/>
  <c r="U155" i="3"/>
  <c r="AA132" i="3"/>
  <c r="Y112" i="3"/>
  <c r="X139" i="3"/>
  <c r="Z97" i="3"/>
  <c r="S81" i="3"/>
  <c r="Y284" i="3"/>
  <c r="R286" i="3"/>
  <c r="R299" i="3"/>
  <c r="AB327" i="3"/>
  <c r="Z327" i="3"/>
  <c r="AA186" i="3"/>
  <c r="Q188" i="3"/>
  <c r="Q175" i="3"/>
  <c r="X173" i="3"/>
  <c r="U225" i="3"/>
  <c r="U212" i="3"/>
  <c r="U214" i="3" s="1"/>
  <c r="U215" i="3" s="1"/>
  <c r="Q384" i="3"/>
  <c r="Q386" i="3" s="1"/>
  <c r="AB253" i="3"/>
  <c r="R355" i="3"/>
  <c r="R377" i="3" s="1"/>
  <c r="Z354" i="3"/>
  <c r="AA243" i="3"/>
  <c r="T266" i="3"/>
  <c r="Z185" i="3"/>
  <c r="T373" i="3"/>
  <c r="T360" i="3"/>
  <c r="T362" i="3" s="1"/>
  <c r="T363" i="3" s="1"/>
  <c r="X185" i="3"/>
  <c r="AA258" i="3"/>
  <c r="AA259" i="3"/>
  <c r="AA295" i="3"/>
  <c r="AA296" i="3"/>
  <c r="V192" i="3"/>
  <c r="AA327" i="3"/>
  <c r="V384" i="3"/>
  <c r="X186" i="3"/>
  <c r="Y320" i="3"/>
  <c r="X174" i="3"/>
  <c r="Y250" i="3"/>
  <c r="AB335" i="3"/>
  <c r="S347" i="3"/>
  <c r="Z335" i="3"/>
  <c r="R303" i="3"/>
  <c r="Y280" i="3"/>
  <c r="T323" i="3"/>
  <c r="AA321" i="3"/>
  <c r="T336" i="3"/>
  <c r="X176" i="3"/>
  <c r="Z253" i="3"/>
  <c r="AB290" i="3"/>
  <c r="T355" i="3"/>
  <c r="T377" i="3" s="1"/>
  <c r="Z328" i="3" l="1"/>
  <c r="Y328" i="3"/>
  <c r="R37" i="3"/>
  <c r="V386" i="3"/>
  <c r="Y69" i="3"/>
  <c r="Y329" i="3"/>
  <c r="X291" i="3"/>
  <c r="AB291" i="3"/>
  <c r="Y73" i="3"/>
  <c r="AA328" i="3"/>
  <c r="X328" i="3"/>
  <c r="AB146" i="3"/>
  <c r="X146" i="3"/>
  <c r="Z146" i="3"/>
  <c r="AB72" i="3"/>
  <c r="Z72" i="3"/>
  <c r="AA146" i="3"/>
  <c r="X72" i="3"/>
  <c r="U275" i="3"/>
  <c r="T423" i="3"/>
  <c r="Y71" i="3"/>
  <c r="Z69" i="3"/>
  <c r="X69" i="3"/>
  <c r="AB69" i="3"/>
  <c r="AA69" i="3"/>
  <c r="X107" i="3"/>
  <c r="S46" i="3"/>
  <c r="R90" i="3"/>
  <c r="X180" i="3"/>
  <c r="X70" i="3"/>
  <c r="AA330" i="3"/>
  <c r="O312" i="3"/>
  <c r="R39" i="3"/>
  <c r="Y256" i="3"/>
  <c r="Z145" i="3"/>
  <c r="AB145" i="3"/>
  <c r="AA145" i="3"/>
  <c r="S164" i="3"/>
  <c r="AB294" i="3"/>
  <c r="X329" i="3"/>
  <c r="Z329" i="3"/>
  <c r="U386" i="3"/>
  <c r="Y145" i="3"/>
  <c r="Z147" i="3"/>
  <c r="Y292" i="3"/>
  <c r="Y180" i="3"/>
  <c r="AA329" i="3"/>
  <c r="S275" i="3"/>
  <c r="U164" i="3"/>
  <c r="R46" i="3"/>
  <c r="Z291" i="3"/>
  <c r="AB180" i="3"/>
  <c r="Z108" i="3"/>
  <c r="U312" i="3"/>
  <c r="X109" i="3"/>
  <c r="AA72" i="3"/>
  <c r="U43" i="3"/>
  <c r="X293" i="3"/>
  <c r="X71" i="3"/>
  <c r="AA180" i="3"/>
  <c r="Y294" i="3"/>
  <c r="AB257" i="3"/>
  <c r="T90" i="3"/>
  <c r="AB147" i="3"/>
  <c r="U41" i="3"/>
  <c r="X257" i="3"/>
  <c r="X73" i="3"/>
  <c r="Z73" i="3"/>
  <c r="Z257" i="3"/>
  <c r="Y257" i="3"/>
  <c r="R312" i="3"/>
  <c r="AA73" i="3"/>
  <c r="AB73" i="3"/>
  <c r="R43" i="3"/>
  <c r="X110" i="3"/>
  <c r="Y291" i="3"/>
  <c r="AB293" i="3"/>
  <c r="AA143" i="3"/>
  <c r="AA147" i="3"/>
  <c r="R127" i="3"/>
  <c r="X256" i="3"/>
  <c r="Y70" i="3"/>
  <c r="Q127" i="3"/>
  <c r="Z292" i="3"/>
  <c r="X292" i="3"/>
  <c r="AB292" i="3"/>
  <c r="AA108" i="3"/>
  <c r="X147" i="3"/>
  <c r="AA182" i="3"/>
  <c r="Z256" i="3"/>
  <c r="V127" i="3"/>
  <c r="AB256" i="3"/>
  <c r="AB109" i="3"/>
  <c r="Y332" i="3"/>
  <c r="AA109" i="3"/>
  <c r="R201" i="3"/>
  <c r="Z70" i="3"/>
  <c r="Z294" i="3"/>
  <c r="AA70" i="3"/>
  <c r="Z71" i="3"/>
  <c r="AB108" i="3"/>
  <c r="Z110" i="3"/>
  <c r="AB254" i="3"/>
  <c r="Z293" i="3"/>
  <c r="Y293" i="3"/>
  <c r="AB255" i="3"/>
  <c r="AA183" i="3"/>
  <c r="X255" i="3"/>
  <c r="Z254" i="3"/>
  <c r="AA110" i="3"/>
  <c r="S423" i="3"/>
  <c r="R275" i="3"/>
  <c r="AB110" i="3"/>
  <c r="AB182" i="3"/>
  <c r="Z143" i="3"/>
  <c r="Y184" i="3"/>
  <c r="AB107" i="3"/>
  <c r="X143" i="3"/>
  <c r="Z107" i="3"/>
  <c r="Y182" i="3"/>
  <c r="X182" i="3"/>
  <c r="AA184" i="3"/>
  <c r="Y143" i="3"/>
  <c r="X184" i="3"/>
  <c r="AB143" i="3"/>
  <c r="AA107" i="3"/>
  <c r="AB184" i="3"/>
  <c r="T201" i="3"/>
  <c r="AA332" i="3"/>
  <c r="O374" i="3"/>
  <c r="O375" i="3" s="1"/>
  <c r="O380" i="3" s="1"/>
  <c r="O381" i="3" s="1"/>
  <c r="O411" i="3"/>
  <c r="O412" i="3" s="1"/>
  <c r="O417" i="3" s="1"/>
  <c r="O418" i="3" s="1"/>
  <c r="Z109" i="3"/>
  <c r="Y254" i="3"/>
  <c r="Y109" i="3"/>
  <c r="Y147" i="3"/>
  <c r="X254" i="3"/>
  <c r="AB70" i="3"/>
  <c r="Y183" i="3"/>
  <c r="V37" i="3"/>
  <c r="S349" i="3"/>
  <c r="Y347" i="3"/>
  <c r="T341" i="3"/>
  <c r="T337" i="3"/>
  <c r="T338" i="3" s="1"/>
  <c r="X258" i="3"/>
  <c r="Q45" i="3"/>
  <c r="X175" i="3"/>
  <c r="Q177" i="3"/>
  <c r="U115" i="3"/>
  <c r="U116" i="3" s="1"/>
  <c r="U119" i="3"/>
  <c r="T66" i="3"/>
  <c r="Z64" i="3"/>
  <c r="V39" i="3"/>
  <c r="V164" i="3"/>
  <c r="T103" i="3"/>
  <c r="Z101" i="3"/>
  <c r="R267" i="3"/>
  <c r="R263" i="3"/>
  <c r="R264" i="3" s="1"/>
  <c r="S43" i="3"/>
  <c r="S312" i="3"/>
  <c r="Q43" i="3"/>
  <c r="Q312" i="3"/>
  <c r="T41" i="3"/>
  <c r="T238" i="3"/>
  <c r="Z188" i="3"/>
  <c r="S189" i="3"/>
  <c r="S190" i="3" s="1"/>
  <c r="S193" i="3"/>
  <c r="Q44" i="3"/>
  <c r="Q349" i="3"/>
  <c r="AB175" i="3"/>
  <c r="U177" i="3"/>
  <c r="Q41" i="3"/>
  <c r="Q337" i="3"/>
  <c r="Q338" i="3" s="1"/>
  <c r="Q341" i="3"/>
  <c r="Z258" i="3"/>
  <c r="Q378" i="3"/>
  <c r="Q374" i="3"/>
  <c r="Q375" i="3" s="1"/>
  <c r="X323" i="3"/>
  <c r="S325" i="3"/>
  <c r="AB323" i="3"/>
  <c r="Z323" i="3"/>
  <c r="Q267" i="3"/>
  <c r="Q263" i="3"/>
  <c r="Q264" i="3" s="1"/>
  <c r="U304" i="3"/>
  <c r="U300" i="3"/>
  <c r="U301" i="3" s="1"/>
  <c r="R214" i="3"/>
  <c r="R215" i="3" s="1"/>
  <c r="X212" i="3"/>
  <c r="S127" i="3"/>
  <c r="AA138" i="3"/>
  <c r="U140" i="3"/>
  <c r="R362" i="3"/>
  <c r="Z360" i="3"/>
  <c r="X183" i="3"/>
  <c r="U238" i="3"/>
  <c r="Q201" i="3"/>
  <c r="Y258" i="3"/>
  <c r="R341" i="3"/>
  <c r="R337" i="3"/>
  <c r="X336" i="3"/>
  <c r="R78" i="3"/>
  <c r="R79" i="3" s="1"/>
  <c r="R82" i="3"/>
  <c r="V90" i="3"/>
  <c r="V78" i="3"/>
  <c r="V79" i="3" s="1"/>
  <c r="V82" i="3"/>
  <c r="U411" i="3"/>
  <c r="U412" i="3" s="1"/>
  <c r="U415" i="3"/>
  <c r="V411" i="3"/>
  <c r="V412" i="3" s="1"/>
  <c r="V415" i="3"/>
  <c r="Q152" i="3"/>
  <c r="Q153" i="3" s="1"/>
  <c r="Q156" i="3"/>
  <c r="Y108" i="3"/>
  <c r="T127" i="3"/>
  <c r="U230" i="3"/>
  <c r="U226" i="3"/>
  <c r="X188" i="3"/>
  <c r="Q189" i="3"/>
  <c r="Q190" i="3" s="1"/>
  <c r="Q193" i="3"/>
  <c r="T304" i="3"/>
  <c r="T300" i="3"/>
  <c r="Q42" i="3"/>
  <c r="Q275" i="3"/>
  <c r="X295" i="3"/>
  <c r="T267" i="3"/>
  <c r="T263" i="3"/>
  <c r="T264" i="3" s="1"/>
  <c r="S214" i="3"/>
  <c r="S215" i="3" s="1"/>
  <c r="Y212" i="3"/>
  <c r="V40" i="3"/>
  <c r="T156" i="3"/>
  <c r="T152" i="3"/>
  <c r="T153" i="3" s="1"/>
  <c r="Q82" i="3"/>
  <c r="Q78" i="3"/>
  <c r="Q79" i="3" s="1"/>
  <c r="U38" i="3"/>
  <c r="U127" i="3"/>
  <c r="U90" i="3"/>
  <c r="T45" i="3"/>
  <c r="Y255" i="3"/>
  <c r="S267" i="3"/>
  <c r="S263" i="3"/>
  <c r="S264" i="3" s="1"/>
  <c r="S156" i="3"/>
  <c r="S152" i="3"/>
  <c r="S304" i="3"/>
  <c r="S300" i="3"/>
  <c r="S301" i="3" s="1"/>
  <c r="R378" i="3"/>
  <c r="R374" i="3"/>
  <c r="R375" i="3" s="1"/>
  <c r="U40" i="3"/>
  <c r="T177" i="3"/>
  <c r="T178" i="3" s="1"/>
  <c r="AA175" i="3"/>
  <c r="U251" i="3"/>
  <c r="AB249" i="3"/>
  <c r="T214" i="3"/>
  <c r="T215" i="3" s="1"/>
  <c r="Z212" i="3"/>
  <c r="R193" i="3"/>
  <c r="R189" i="3"/>
  <c r="R190" i="3" s="1"/>
  <c r="Y188" i="3"/>
  <c r="AB332" i="3"/>
  <c r="Z332" i="3"/>
  <c r="R40" i="3"/>
  <c r="X294" i="3"/>
  <c r="S411" i="3"/>
  <c r="S412" i="3" s="1"/>
  <c r="S415" i="3"/>
  <c r="S90" i="3"/>
  <c r="V115" i="3"/>
  <c r="V116" i="3" s="1"/>
  <c r="V119" i="3"/>
  <c r="Y64" i="3"/>
  <c r="R66" i="3"/>
  <c r="V152" i="3"/>
  <c r="V153" i="3" s="1"/>
  <c r="V156" i="3"/>
  <c r="R140" i="3"/>
  <c r="Y138" i="3"/>
  <c r="Q39" i="3"/>
  <c r="R411" i="3"/>
  <c r="R412" i="3" s="1"/>
  <c r="R415" i="3"/>
  <c r="U78" i="3"/>
  <c r="U79" i="3" s="1"/>
  <c r="U82" i="3"/>
  <c r="Y107" i="3"/>
  <c r="AB71" i="3"/>
  <c r="Z330" i="3"/>
  <c r="AB330" i="3"/>
  <c r="U46" i="3"/>
  <c r="T378" i="3"/>
  <c r="T374" i="3"/>
  <c r="T375" i="3" s="1"/>
  <c r="R304" i="3"/>
  <c r="R300" i="3"/>
  <c r="R301" i="3" s="1"/>
  <c r="T82" i="3"/>
  <c r="T78" i="3"/>
  <c r="T79" i="3" s="1"/>
  <c r="T115" i="3"/>
  <c r="T116" i="3" s="1"/>
  <c r="T119" i="3"/>
  <c r="Q226" i="3"/>
  <c r="Q227" i="3" s="1"/>
  <c r="Q230" i="3"/>
  <c r="U374" i="3"/>
  <c r="U375" i="3" s="1"/>
  <c r="U378" i="3"/>
  <c r="U193" i="3"/>
  <c r="AB188" i="3"/>
  <c r="U189" i="3"/>
  <c r="U190" i="3" s="1"/>
  <c r="S230" i="3"/>
  <c r="S226" i="3"/>
  <c r="S227" i="3" s="1"/>
  <c r="R164" i="3"/>
  <c r="Q46" i="3"/>
  <c r="Q423" i="3"/>
  <c r="AB258" i="3"/>
  <c r="S362" i="3"/>
  <c r="AA360" i="3"/>
  <c r="AB183" i="3"/>
  <c r="S201" i="3"/>
  <c r="Q251" i="3"/>
  <c r="X249" i="3"/>
  <c r="U288" i="3"/>
  <c r="AB286" i="3"/>
  <c r="S115" i="3"/>
  <c r="S116" i="3" s="1"/>
  <c r="S119" i="3"/>
  <c r="U156" i="3"/>
  <c r="U152" i="3"/>
  <c r="U153" i="3" s="1"/>
  <c r="T312" i="3"/>
  <c r="Q300" i="3"/>
  <c r="Q301" i="3" s="1"/>
  <c r="Q304" i="3"/>
  <c r="U201" i="3"/>
  <c r="V193" i="3"/>
  <c r="V189" i="3"/>
  <c r="V374" i="3"/>
  <c r="V375" i="3" s="1"/>
  <c r="V378" i="3"/>
  <c r="U263" i="3"/>
  <c r="U264" i="3" s="1"/>
  <c r="U267" i="3"/>
  <c r="T230" i="3"/>
  <c r="T226" i="3"/>
  <c r="R177" i="3"/>
  <c r="Y175" i="3"/>
  <c r="X330" i="3"/>
  <c r="R115" i="3"/>
  <c r="R116" i="3" s="1"/>
  <c r="R119" i="3"/>
  <c r="AB101" i="3"/>
  <c r="V103" i="3"/>
  <c r="T411" i="3"/>
  <c r="T412" i="3" s="1"/>
  <c r="T415" i="3"/>
  <c r="X101" i="3"/>
  <c r="Q103" i="3"/>
  <c r="S82" i="3"/>
  <c r="S78" i="3"/>
  <c r="S79" i="3" s="1"/>
  <c r="R45" i="3"/>
  <c r="AA71" i="3"/>
  <c r="Q411" i="3"/>
  <c r="Q412" i="3" s="1"/>
  <c r="Q415" i="3"/>
  <c r="S39" i="3"/>
  <c r="AB64" i="3"/>
  <c r="V66" i="3"/>
  <c r="Z295" i="3"/>
  <c r="X138" i="3"/>
  <c r="Q140" i="3"/>
  <c r="Y110" i="3"/>
  <c r="T37" i="3"/>
  <c r="T325" i="3"/>
  <c r="AA323" i="3"/>
  <c r="Q37" i="3"/>
  <c r="R38" i="3"/>
  <c r="AB295" i="3"/>
  <c r="R288" i="3"/>
  <c r="Y286" i="3"/>
  <c r="Y295" i="3"/>
  <c r="U103" i="3"/>
  <c r="AA101" i="3"/>
  <c r="O304" i="3"/>
  <c r="O300" i="3"/>
  <c r="O301" i="3" s="1"/>
  <c r="T288" i="3"/>
  <c r="AA286" i="3"/>
  <c r="R251" i="3"/>
  <c r="Y249" i="3"/>
  <c r="S177" i="3"/>
  <c r="Z175" i="3"/>
  <c r="V41" i="3"/>
  <c r="V238" i="3"/>
  <c r="Y348" i="3"/>
  <c r="T251" i="3"/>
  <c r="AA249" i="3"/>
  <c r="R238" i="3"/>
  <c r="Y330" i="3"/>
  <c r="T140" i="3"/>
  <c r="Z138" i="3"/>
  <c r="Q90" i="3"/>
  <c r="X64" i="3"/>
  <c r="Q66" i="3"/>
  <c r="U45" i="3"/>
  <c r="S378" i="3"/>
  <c r="S374" i="3"/>
  <c r="S375" i="3" s="1"/>
  <c r="S337" i="3"/>
  <c r="S341" i="3"/>
  <c r="Y336" i="3"/>
  <c r="X348" i="3"/>
  <c r="Z249" i="3"/>
  <c r="S251" i="3"/>
  <c r="R230" i="3"/>
  <c r="R226" i="3"/>
  <c r="R227" i="3" s="1"/>
  <c r="T39" i="3"/>
  <c r="T164" i="3"/>
  <c r="R42" i="3"/>
  <c r="T275" i="3"/>
  <c r="Z286" i="3"/>
  <c r="S288" i="3"/>
  <c r="Q288" i="3"/>
  <c r="X286" i="3"/>
  <c r="T193" i="3"/>
  <c r="AA188" i="3"/>
  <c r="T189" i="3"/>
  <c r="T190" i="3" s="1"/>
  <c r="R44" i="3"/>
  <c r="R349" i="3"/>
  <c r="X347" i="3"/>
  <c r="T44" i="3"/>
  <c r="T349" i="3"/>
  <c r="V230" i="3"/>
  <c r="V226" i="3"/>
  <c r="V227" i="3" s="1"/>
  <c r="R325" i="3"/>
  <c r="Y323" i="3"/>
  <c r="R103" i="3"/>
  <c r="Y101" i="3"/>
  <c r="V46" i="3"/>
  <c r="V423" i="3"/>
  <c r="O337" i="3"/>
  <c r="O338" i="3" s="1"/>
  <c r="O341" i="3"/>
  <c r="Q119" i="3"/>
  <c r="Q115" i="3"/>
  <c r="Q116" i="3" s="1"/>
  <c r="Q164" i="3"/>
  <c r="V140" i="3"/>
  <c r="AB138" i="3"/>
  <c r="R152" i="3"/>
  <c r="R153" i="3" s="1"/>
  <c r="R156" i="3"/>
  <c r="Z255" i="3"/>
  <c r="U66" i="3"/>
  <c r="AA64" i="3"/>
  <c r="O416" i="3" l="1"/>
  <c r="Q40" i="3"/>
  <c r="S45" i="3"/>
  <c r="U37" i="3"/>
  <c r="R41" i="3"/>
  <c r="S40" i="3"/>
  <c r="O379" i="3"/>
  <c r="X341" i="3"/>
  <c r="S38" i="3"/>
  <c r="U306" i="3"/>
  <c r="U307" i="3" s="1"/>
  <c r="S194" i="3"/>
  <c r="R269" i="3"/>
  <c r="R270" i="3" s="1"/>
  <c r="T268" i="3"/>
  <c r="Q121" i="3"/>
  <c r="Q122" i="3" s="1"/>
  <c r="T343" i="3"/>
  <c r="T344" i="3" s="1"/>
  <c r="T194" i="3"/>
  <c r="S380" i="3"/>
  <c r="S381" i="3" s="1"/>
  <c r="S231" i="3"/>
  <c r="U195" i="3"/>
  <c r="U196" i="3" s="1"/>
  <c r="T83" i="3"/>
  <c r="S305" i="3"/>
  <c r="S269" i="3"/>
  <c r="S270" i="3" s="1"/>
  <c r="V231" i="3"/>
  <c r="R232" i="3"/>
  <c r="R233" i="3" s="1"/>
  <c r="T158" i="3"/>
  <c r="T159" i="3" s="1"/>
  <c r="U158" i="3"/>
  <c r="U159" i="3" s="1"/>
  <c r="R306" i="3"/>
  <c r="R307" i="3" s="1"/>
  <c r="T380" i="3"/>
  <c r="T381" i="3" s="1"/>
  <c r="U305" i="3"/>
  <c r="X140" i="3"/>
  <c r="Q141" i="3"/>
  <c r="Q417" i="3"/>
  <c r="Q418" i="3" s="1"/>
  <c r="Q416" i="3"/>
  <c r="T121" i="3"/>
  <c r="T122" i="3" s="1"/>
  <c r="T120" i="3"/>
  <c r="U416" i="3"/>
  <c r="U417" i="3"/>
  <c r="U418" i="3" s="1"/>
  <c r="V84" i="3"/>
  <c r="V85" i="3" s="1"/>
  <c r="V83" i="3"/>
  <c r="U141" i="3"/>
  <c r="AA140" i="3"/>
  <c r="U157" i="3"/>
  <c r="AB288" i="3"/>
  <c r="U289" i="3"/>
  <c r="S363" i="3"/>
  <c r="AA362" i="3"/>
  <c r="Q38" i="3"/>
  <c r="S157" i="3"/>
  <c r="S153" i="3"/>
  <c r="S158" i="3" s="1"/>
  <c r="S159" i="3" s="1"/>
  <c r="U231" i="3"/>
  <c r="U227" i="3"/>
  <c r="U232" i="3" s="1"/>
  <c r="U233" i="3" s="1"/>
  <c r="V416" i="3"/>
  <c r="V417" i="3"/>
  <c r="V418" i="3" s="1"/>
  <c r="AA66" i="3"/>
  <c r="U67" i="3"/>
  <c r="Y103" i="3"/>
  <c r="R104" i="3"/>
  <c r="T195" i="3"/>
  <c r="T196" i="3" s="1"/>
  <c r="Q289" i="3"/>
  <c r="X288" i="3"/>
  <c r="T42" i="3"/>
  <c r="S252" i="3"/>
  <c r="Z251" i="3"/>
  <c r="Q83" i="3"/>
  <c r="Q84" i="3"/>
  <c r="Q85" i="3" s="1"/>
  <c r="T157" i="3"/>
  <c r="T305" i="3"/>
  <c r="T301" i="3"/>
  <c r="T306" i="3" s="1"/>
  <c r="T307" i="3" s="1"/>
  <c r="Q195" i="3"/>
  <c r="Q196" i="3" s="1"/>
  <c r="Q194" i="3"/>
  <c r="T38" i="3"/>
  <c r="S44" i="3"/>
  <c r="R387" i="3"/>
  <c r="S342" i="3"/>
  <c r="Y341" i="3"/>
  <c r="T252" i="3"/>
  <c r="AA251" i="3"/>
  <c r="T289" i="3"/>
  <c r="AA288" i="3"/>
  <c r="AA325" i="3"/>
  <c r="T326" i="3"/>
  <c r="V141" i="3"/>
  <c r="AB140" i="3"/>
  <c r="Q120" i="3"/>
  <c r="R231" i="3"/>
  <c r="S338" i="3"/>
  <c r="Y338" i="3" s="1"/>
  <c r="Y337" i="3"/>
  <c r="AA177" i="3"/>
  <c r="Z177" i="3"/>
  <c r="S178" i="3"/>
  <c r="AA178" i="3" s="1"/>
  <c r="Y288" i="3"/>
  <c r="R289" i="3"/>
  <c r="V45" i="3"/>
  <c r="T40" i="3"/>
  <c r="R416" i="3"/>
  <c r="R417" i="3"/>
  <c r="R418" i="3" s="1"/>
  <c r="Y140" i="3"/>
  <c r="R141" i="3"/>
  <c r="R157" i="3"/>
  <c r="R158" i="3"/>
  <c r="R159" i="3" s="1"/>
  <c r="Q67" i="3"/>
  <c r="X66" i="3"/>
  <c r="Y251" i="3"/>
  <c r="R252" i="3"/>
  <c r="T202" i="3"/>
  <c r="O306" i="3"/>
  <c r="O307" i="3" s="1"/>
  <c r="O305" i="3"/>
  <c r="AA103" i="3"/>
  <c r="U104" i="3"/>
  <c r="S84" i="3"/>
  <c r="S85" i="3" s="1"/>
  <c r="S83" i="3"/>
  <c r="AB103" i="3"/>
  <c r="V104" i="3"/>
  <c r="T231" i="3"/>
  <c r="T227" i="3"/>
  <c r="T232" i="3" s="1"/>
  <c r="T233" i="3" s="1"/>
  <c r="V379" i="3"/>
  <c r="V380" i="3"/>
  <c r="V381" i="3" s="1"/>
  <c r="V194" i="3"/>
  <c r="V190" i="3"/>
  <c r="V195" i="3" s="1"/>
  <c r="V196" i="3" s="1"/>
  <c r="S41" i="3"/>
  <c r="V158" i="3"/>
  <c r="V159" i="3" s="1"/>
  <c r="V157" i="3"/>
  <c r="S416" i="3"/>
  <c r="S417" i="3"/>
  <c r="S418" i="3" s="1"/>
  <c r="R194" i="3"/>
  <c r="R195" i="3"/>
  <c r="R196" i="3" s="1"/>
  <c r="U252" i="3"/>
  <c r="AB251" i="3"/>
  <c r="S268" i="3"/>
  <c r="R342" i="3"/>
  <c r="R338" i="3"/>
  <c r="X337" i="3"/>
  <c r="X215" i="3"/>
  <c r="Q269" i="3"/>
  <c r="Q270" i="3" s="1"/>
  <c r="Q268" i="3"/>
  <c r="Q380" i="3"/>
  <c r="Q381" i="3" s="1"/>
  <c r="Q379" i="3"/>
  <c r="Z103" i="3"/>
  <c r="T104" i="3"/>
  <c r="T67" i="3"/>
  <c r="Z66" i="3"/>
  <c r="O343" i="3"/>
  <c r="O344" i="3" s="1"/>
  <c r="O342" i="3"/>
  <c r="R326" i="3"/>
  <c r="Y325" i="3"/>
  <c r="V232" i="3"/>
  <c r="V233" i="3" s="1"/>
  <c r="S289" i="3"/>
  <c r="Z288" i="3"/>
  <c r="S379" i="3"/>
  <c r="T141" i="3"/>
  <c r="Z140" i="3"/>
  <c r="Q104" i="3"/>
  <c r="X103" i="3"/>
  <c r="T43" i="3"/>
  <c r="X251" i="3"/>
  <c r="Q252" i="3"/>
  <c r="S232" i="3"/>
  <c r="S233" i="3" s="1"/>
  <c r="U194" i="3"/>
  <c r="S42" i="3"/>
  <c r="Q231" i="3"/>
  <c r="Q232" i="3"/>
  <c r="Q233" i="3" s="1"/>
  <c r="T84" i="3"/>
  <c r="T85" i="3" s="1"/>
  <c r="R305" i="3"/>
  <c r="T379" i="3"/>
  <c r="U84" i="3"/>
  <c r="U85" i="3" s="1"/>
  <c r="U83" i="3"/>
  <c r="Y66" i="3"/>
  <c r="R67" i="3"/>
  <c r="S37" i="3"/>
  <c r="R380" i="3"/>
  <c r="R381" i="3" s="1"/>
  <c r="R379" i="3"/>
  <c r="Q387" i="3"/>
  <c r="Y215" i="3"/>
  <c r="V38" i="3"/>
  <c r="S195" i="3"/>
  <c r="S196" i="3" s="1"/>
  <c r="R268" i="3"/>
  <c r="U121" i="3"/>
  <c r="U122" i="3" s="1"/>
  <c r="U120" i="3"/>
  <c r="X177" i="3"/>
  <c r="Q178" i="3"/>
  <c r="S387" i="3"/>
  <c r="U42" i="3"/>
  <c r="AB66" i="3"/>
  <c r="V67" i="3"/>
  <c r="T417" i="3"/>
  <c r="T418" i="3" s="1"/>
  <c r="T416" i="3"/>
  <c r="R121" i="3"/>
  <c r="R122" i="3" s="1"/>
  <c r="R120" i="3"/>
  <c r="R178" i="3"/>
  <c r="Y177" i="3"/>
  <c r="U268" i="3"/>
  <c r="U269" i="3"/>
  <c r="U270" i="3" s="1"/>
  <c r="Q305" i="3"/>
  <c r="Q306" i="3"/>
  <c r="Q307" i="3" s="1"/>
  <c r="S120" i="3"/>
  <c r="S121" i="3"/>
  <c r="S122" i="3" s="1"/>
  <c r="U379" i="3"/>
  <c r="U380" i="3"/>
  <c r="U381" i="3" s="1"/>
  <c r="T46" i="3"/>
  <c r="V121" i="3"/>
  <c r="V122" i="3" s="1"/>
  <c r="V120" i="3"/>
  <c r="Z215" i="3"/>
  <c r="S306" i="3"/>
  <c r="S307" i="3" s="1"/>
  <c r="V387" i="3"/>
  <c r="T269" i="3"/>
  <c r="T270" i="3" s="1"/>
  <c r="U39" i="3"/>
  <c r="Q157" i="3"/>
  <c r="Q158" i="3"/>
  <c r="Q159" i="3" s="1"/>
  <c r="R84" i="3"/>
  <c r="R85" i="3" s="1"/>
  <c r="R83" i="3"/>
  <c r="R363" i="3"/>
  <c r="Z362" i="3"/>
  <c r="T387" i="3"/>
  <c r="X325" i="3"/>
  <c r="AB325" i="3"/>
  <c r="S326" i="3"/>
  <c r="Z325" i="3"/>
  <c r="Q343" i="3"/>
  <c r="Q344" i="3" s="1"/>
  <c r="Q342" i="3"/>
  <c r="AB177" i="3"/>
  <c r="U178" i="3"/>
  <c r="T342" i="3"/>
  <c r="U387" i="3"/>
  <c r="T165" i="3" l="1"/>
  <c r="AS80" i="10"/>
  <c r="S54" i="3"/>
  <c r="AQ80" i="10"/>
  <c r="R165" i="3"/>
  <c r="Y178" i="3"/>
  <c r="S276" i="3"/>
  <c r="Z289" i="3"/>
  <c r="V350" i="3"/>
  <c r="Q350" i="3"/>
  <c r="AO80" i="10"/>
  <c r="U91" i="3"/>
  <c r="AA104" i="3"/>
  <c r="T313" i="3"/>
  <c r="AA326" i="3"/>
  <c r="V165" i="3"/>
  <c r="Q276" i="3"/>
  <c r="X289" i="3"/>
  <c r="R91" i="3"/>
  <c r="Y104" i="3"/>
  <c r="AA67" i="3"/>
  <c r="U54" i="3"/>
  <c r="O387" i="3"/>
  <c r="O350" i="3"/>
  <c r="S350" i="3"/>
  <c r="AA363" i="3"/>
  <c r="R313" i="3"/>
  <c r="Y326" i="3"/>
  <c r="T54" i="3"/>
  <c r="Z67" i="3"/>
  <c r="R202" i="3"/>
  <c r="U350" i="3"/>
  <c r="R343" i="3"/>
  <c r="X338" i="3"/>
  <c r="V91" i="3"/>
  <c r="AB104" i="3"/>
  <c r="R276" i="3"/>
  <c r="Y289" i="3"/>
  <c r="AA252" i="3"/>
  <c r="T239" i="3"/>
  <c r="Y342" i="3"/>
  <c r="S128" i="3"/>
  <c r="S239" i="3"/>
  <c r="Z252" i="3"/>
  <c r="U276" i="3"/>
  <c r="AB289" i="3"/>
  <c r="U128" i="3"/>
  <c r="AA141" i="3"/>
  <c r="Q202" i="3"/>
  <c r="X178" i="3"/>
  <c r="Q165" i="3"/>
  <c r="V54" i="3"/>
  <c r="AB67" i="3"/>
  <c r="X104" i="3"/>
  <c r="Q91" i="3"/>
  <c r="T128" i="3"/>
  <c r="Z141" i="3"/>
  <c r="O276" i="3"/>
  <c r="T91" i="3"/>
  <c r="Z104" i="3"/>
  <c r="AR80" i="10"/>
  <c r="X342" i="3"/>
  <c r="T350" i="3"/>
  <c r="R239" i="3"/>
  <c r="Y252" i="3"/>
  <c r="R128" i="3"/>
  <c r="Y141" i="3"/>
  <c r="S343" i="3"/>
  <c r="AT80" i="10"/>
  <c r="O313" i="3"/>
  <c r="X141" i="3"/>
  <c r="Q128" i="3"/>
  <c r="AB326" i="3"/>
  <c r="Z326" i="3"/>
  <c r="S313" i="3"/>
  <c r="X326" i="3"/>
  <c r="S91" i="3"/>
  <c r="S202" i="3"/>
  <c r="U165" i="3"/>
  <c r="AB178" i="3"/>
  <c r="R350" i="3"/>
  <c r="Z363" i="3"/>
  <c r="AP80" i="10"/>
  <c r="Y67" i="3"/>
  <c r="R54" i="3"/>
  <c r="Q239" i="3"/>
  <c r="X252" i="3"/>
  <c r="V202" i="3"/>
  <c r="U239" i="3"/>
  <c r="AB252" i="3"/>
  <c r="X67" i="3"/>
  <c r="Q54" i="3"/>
  <c r="Z178" i="3"/>
  <c r="S165" i="3"/>
  <c r="V128" i="3"/>
  <c r="AB141" i="3"/>
  <c r="T276" i="3"/>
  <c r="AA289" i="3"/>
  <c r="Q313" i="3"/>
  <c r="U202" i="3"/>
  <c r="R344" i="3" l="1"/>
  <c r="X344" i="3" s="1"/>
  <c r="X343" i="3"/>
  <c r="S344" i="3"/>
  <c r="Y344" i="3" s="1"/>
  <c r="Y343" i="3"/>
</calcChain>
</file>

<file path=xl/sharedStrings.xml><?xml version="1.0" encoding="utf-8"?>
<sst xmlns="http://schemas.openxmlformats.org/spreadsheetml/2006/main" count="2591" uniqueCount="270">
  <si>
    <t>reg+prem+dod5</t>
  </si>
  <si>
    <t>reg+prem+dod4</t>
  </si>
  <si>
    <t>reg+prem+dod3</t>
  </si>
  <si>
    <t>reg+prem+dod2</t>
  </si>
  <si>
    <t>reg+prem+dod1</t>
  </si>
  <si>
    <t>Stranski pridelki</t>
  </si>
  <si>
    <t>STROŠKI SKUPAJ</t>
  </si>
  <si>
    <t xml:space="preserve"> domače delo (neto)</t>
  </si>
  <si>
    <t>Stroški kapitala_a</t>
  </si>
  <si>
    <t>OBVEZNOSTI</t>
  </si>
  <si>
    <t>AMORTIZACIJA_a</t>
  </si>
  <si>
    <t xml:space="preserve"> domače strojne storitve</t>
  </si>
  <si>
    <t>zav prid</t>
  </si>
  <si>
    <t xml:space="preserve"> delo</t>
  </si>
  <si>
    <t xml:space="preserve"> strojne stor</t>
  </si>
  <si>
    <t xml:space="preserve"> druge stor</t>
  </si>
  <si>
    <t>SREDSTVA ZA VARSTVO RASTLIN</t>
  </si>
  <si>
    <t>MINERALNA GNOJILA</t>
  </si>
  <si>
    <t>ORGANSKA GNOJILA</t>
  </si>
  <si>
    <t>SEME, SADIKE</t>
  </si>
  <si>
    <t>Kg/ha</t>
  </si>
  <si>
    <t>Intenzivnost pridelave</t>
  </si>
  <si>
    <t>Prid (neto za LC v analitični)</t>
  </si>
  <si>
    <t xml:space="preserve">              KMETIJSKI INŠTITUT SLOVENIJE</t>
  </si>
  <si>
    <t>delo  prenešeno</t>
  </si>
  <si>
    <t>delo direktno</t>
  </si>
  <si>
    <t>Amortizacija</t>
  </si>
  <si>
    <t>Kupljen material in storitve</t>
  </si>
  <si>
    <t>SUM element</t>
  </si>
  <si>
    <t>vred glav prid</t>
  </si>
  <si>
    <t>Pc</t>
  </si>
  <si>
    <t>jabolka</t>
  </si>
  <si>
    <t>krompir</t>
  </si>
  <si>
    <t>EUR/uro</t>
  </si>
  <si>
    <t>Neto dodana vrednost/uro</t>
  </si>
  <si>
    <t>EUR/ha</t>
  </si>
  <si>
    <t>Neto dodana vrednost</t>
  </si>
  <si>
    <t xml:space="preserve">Bruto dodana vrednost </t>
  </si>
  <si>
    <t xml:space="preserve">  Stroški domačega dela in kapitala</t>
  </si>
  <si>
    <t xml:space="preserve">  Amortizacija</t>
  </si>
  <si>
    <t xml:space="preserve">  Stroški kupljenega blaga in storitev</t>
  </si>
  <si>
    <t>Stroški zmanjšani za interno realizacijo</t>
  </si>
  <si>
    <t>Vrednost finalne proizvodnje skupaj</t>
  </si>
  <si>
    <t>OBRAČUN DOHODKA</t>
  </si>
  <si>
    <t xml:space="preserve">  Od tega interna realizacija</t>
  </si>
  <si>
    <t>Vrednost proizvodnje skupaj</t>
  </si>
  <si>
    <t>EUR/kg</t>
  </si>
  <si>
    <t>Prodajna cena</t>
  </si>
  <si>
    <t>Stroški, zmanjšani za subvencije/kg</t>
  </si>
  <si>
    <t>Stroški, zmanjšani za subvencije</t>
  </si>
  <si>
    <t>Subvencije</t>
  </si>
  <si>
    <t>Stroški glavnega pridelka</t>
  </si>
  <si>
    <t>Stroški skupaj</t>
  </si>
  <si>
    <t xml:space="preserve">  Od tega: domače delo neto</t>
  </si>
  <si>
    <t>Stroški domačega dela in kapitala</t>
  </si>
  <si>
    <t xml:space="preserve">                 domače strojne storitve</t>
  </si>
  <si>
    <t xml:space="preserve">                 zavarovanje</t>
  </si>
  <si>
    <t xml:space="preserve">                 najete storitve</t>
  </si>
  <si>
    <t xml:space="preserve">                 sredstva za varstvo</t>
  </si>
  <si>
    <t xml:space="preserve">                 gnojila</t>
  </si>
  <si>
    <t xml:space="preserve">  Od tega: seme</t>
  </si>
  <si>
    <t>Stroški blaga in storitev</t>
  </si>
  <si>
    <t>IZVLEČEK ANALITIČNE KALKULACIJE</t>
  </si>
  <si>
    <t>Enota</t>
  </si>
  <si>
    <t>Indeks</t>
  </si>
  <si>
    <t>◄ izbor kalkulacije</t>
  </si>
  <si>
    <t>KONTROLA</t>
  </si>
  <si>
    <t>LC</t>
  </si>
  <si>
    <t>"Brez dajatev in pravic iz dela" vključujejo: a + e</t>
  </si>
  <si>
    <t>"Minimalne obveznosti iz dela"  vključujejo: a + b + e</t>
  </si>
  <si>
    <t xml:space="preserve">d. pravice iz dela (plačani bolniški in redni letni dopust, regres, regres za malico), </t>
  </si>
  <si>
    <t>"Polne dajatve in pravice iz dela" vključujejo:</t>
  </si>
  <si>
    <t>RAZLIČNE RAVNI PARITETNEGA DOHODKA</t>
  </si>
  <si>
    <t>Število/ha</t>
  </si>
  <si>
    <t>Število trsov</t>
  </si>
  <si>
    <t>Kg/trs</t>
  </si>
  <si>
    <t>t/ha</t>
  </si>
  <si>
    <t>M4</t>
  </si>
  <si>
    <t>M 6</t>
  </si>
  <si>
    <t>M 5</t>
  </si>
  <si>
    <t>M 4</t>
  </si>
  <si>
    <t>M 3</t>
  </si>
  <si>
    <t>M 2</t>
  </si>
  <si>
    <t>M 1</t>
  </si>
  <si>
    <t>Model</t>
  </si>
  <si>
    <t>M3</t>
  </si>
  <si>
    <t>M2</t>
  </si>
  <si>
    <t>M1</t>
  </si>
  <si>
    <t>Indeks: M 1 =100</t>
  </si>
  <si>
    <t>ha</t>
  </si>
  <si>
    <t>Velikost poljine</t>
  </si>
  <si>
    <t>vel parcele</t>
  </si>
  <si>
    <t>Indeks: M 2 =100</t>
  </si>
  <si>
    <t>Indeks: M 3 =100</t>
  </si>
  <si>
    <t>Stranski pridelek</t>
  </si>
  <si>
    <t>str1_kg</t>
  </si>
  <si>
    <t>Glavni pridelek</t>
  </si>
  <si>
    <t>M5</t>
  </si>
  <si>
    <t>e. davke iz KD in stroške kapitala</t>
  </si>
  <si>
    <t>Pšenica</t>
  </si>
  <si>
    <t>EKONOMSKI KAZALCI PRI RAZLIČNI INTENZIVNOSTI IN VELIKOSTI PARCELE</t>
  </si>
  <si>
    <t>Odkupna cena; vir podatkov SURS; preračuni KIS</t>
  </si>
  <si>
    <t>sivo</t>
  </si>
  <si>
    <t>Brez dajatev in pravic iz dela</t>
  </si>
  <si>
    <t>Minimalne obveznosti iz dela</t>
  </si>
  <si>
    <t>Polne dajatve in pravice iz dela</t>
  </si>
  <si>
    <t>stroški-vse dajatve</t>
  </si>
  <si>
    <t>stroški-obv dajatve</t>
  </si>
  <si>
    <t>stroški vsi</t>
  </si>
  <si>
    <t>Regresi</t>
  </si>
  <si>
    <t>Zdrav dodatno</t>
  </si>
  <si>
    <t>Pokoj dodatno</t>
  </si>
  <si>
    <t>Zdrav obvezno</t>
  </si>
  <si>
    <t>Pokoj obvezno</t>
  </si>
  <si>
    <t>psenica</t>
  </si>
  <si>
    <t>psenicaA</t>
  </si>
  <si>
    <t>psenicaB</t>
  </si>
  <si>
    <t>psenicaC</t>
  </si>
  <si>
    <t>jecmenT</t>
  </si>
  <si>
    <t>koruza</t>
  </si>
  <si>
    <t>oljrep</t>
  </si>
  <si>
    <t>hruske</t>
  </si>
  <si>
    <t>breskve</t>
  </si>
  <si>
    <t>grozpod</t>
  </si>
  <si>
    <t>grozpri</t>
  </si>
  <si>
    <t>grozpriA</t>
  </si>
  <si>
    <t>grozpriB</t>
  </si>
  <si>
    <t>grozpriC</t>
  </si>
  <si>
    <t>grozpriD</t>
  </si>
  <si>
    <t>grozpriE</t>
  </si>
  <si>
    <t>grozpriF</t>
  </si>
  <si>
    <t>grozpodA</t>
  </si>
  <si>
    <t>grozpodB</t>
  </si>
  <si>
    <t>grozpodC</t>
  </si>
  <si>
    <t>breskveA</t>
  </si>
  <si>
    <t>breskveB</t>
  </si>
  <si>
    <t>hruskeA</t>
  </si>
  <si>
    <t>hruskeB</t>
  </si>
  <si>
    <t>jabolkaA</t>
  </si>
  <si>
    <t>jabolkaB</t>
  </si>
  <si>
    <t>jabolkaC</t>
  </si>
  <si>
    <t>oljrepB</t>
  </si>
  <si>
    <t>oljrepA</t>
  </si>
  <si>
    <t>krompirA</t>
  </si>
  <si>
    <t>krompirB</t>
  </si>
  <si>
    <t>jecmenTA</t>
  </si>
  <si>
    <t>jecmenTB</t>
  </si>
  <si>
    <t>zav zgradb</t>
  </si>
  <si>
    <t>KMETIJSKI INŠTITUT SLOVENIJE</t>
  </si>
  <si>
    <t>Oddelek za ekonomiko kmetijstva</t>
  </si>
  <si>
    <t>oljrepC</t>
  </si>
  <si>
    <t>koruzaA</t>
  </si>
  <si>
    <t>koruzaB</t>
  </si>
  <si>
    <t>koruzaC</t>
  </si>
  <si>
    <t>koruzaD</t>
  </si>
  <si>
    <t>krompirC</t>
  </si>
  <si>
    <t>psenicaD</t>
  </si>
  <si>
    <t>psenicaE</t>
  </si>
  <si>
    <t>M6</t>
  </si>
  <si>
    <t>psenicaF</t>
  </si>
  <si>
    <t>Indeks: M 3 = 100</t>
  </si>
  <si>
    <t>Legenda:</t>
  </si>
  <si>
    <t>jecmenTE</t>
  </si>
  <si>
    <t>jecmenTD</t>
  </si>
  <si>
    <t>jecmenTC</t>
  </si>
  <si>
    <t>jecmenTF</t>
  </si>
  <si>
    <t>Indeks: M 2 = 100</t>
  </si>
  <si>
    <t>Bruto dodana vrednost</t>
  </si>
  <si>
    <t>Velikost parcele</t>
  </si>
  <si>
    <t>davek_a</t>
  </si>
  <si>
    <r>
      <t xml:space="preserve">Slika 1: Cenovne meje doseganja paritetnega dohodka - </t>
    </r>
    <r>
      <rPr>
        <b/>
        <sz val="9"/>
        <color theme="6" tint="-0.499984740745262"/>
        <rFont val="Arial"/>
        <family val="2"/>
        <charset val="238"/>
      </rPr>
      <t>PŠENICA</t>
    </r>
    <r>
      <rPr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</si>
  <si>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PŠENICA</t>
    </r>
    <r>
      <rPr>
        <b/>
        <sz val="9"/>
        <rFont val="Arial"/>
        <family val="2"/>
        <charset val="238"/>
      </rPr>
      <t>,</t>
    </r>
  </si>
  <si>
    <t>oljrepD</t>
  </si>
  <si>
    <t>oljrepE</t>
  </si>
  <si>
    <t>oljrepF</t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</si>
  <si>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JEČMEN - tržni</t>
    </r>
    <r>
      <rPr>
        <b/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</si>
  <si>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JEČMEN - tržni</t>
    </r>
    <r>
      <rPr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</si>
  <si>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OLJNA OGRŠČICA</t>
    </r>
    <r>
      <rPr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</si>
  <si>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 xml:space="preserve"> OLJNA OGRŠČICA</t>
    </r>
    <r>
      <rPr>
        <b/>
        <sz val="9"/>
        <rFont val="Arial"/>
        <family val="2"/>
        <charset val="238"/>
      </rPr>
      <t>,</t>
    </r>
  </si>
  <si>
    <t>KAZALNIKI DOHODKA</t>
  </si>
  <si>
    <t>"Subvencije" vključujejo:</t>
  </si>
  <si>
    <t xml:space="preserve"> - vračilo trošarine</t>
  </si>
  <si>
    <t xml:space="preserve"> - vrednost plačilne pravice</t>
  </si>
  <si>
    <t xml:space="preserve"> - plačilo za zeleno komponento</t>
  </si>
  <si>
    <t xml:space="preserve"> - proizvodno vezano plačilo pri strnem žitu</t>
  </si>
  <si>
    <t>Vrednost pridelave_tržna</t>
  </si>
  <si>
    <t>"Vrednost pridelave_tržna" vključujeje:</t>
  </si>
  <si>
    <t>b. prispevke iz naslova zdravstvenega in pokojninskega zavarovanja kmetov (osnova minimalna plača),</t>
  </si>
  <si>
    <t xml:space="preserve">c. prispevke iz naslova zdravstvenega in pokojninskega zavarovanja kmetov, ki zagotavljajo z delavci primerljivo raven pravic (osnova povprečna plača), </t>
  </si>
  <si>
    <t>LEGENDA</t>
  </si>
  <si>
    <t>Neto dodana vrednsot</t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</si>
  <si>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JEČMEN - tržni</t>
    </r>
    <r>
      <rPr>
        <sz val="9"/>
        <rFont val="Arial"/>
        <family val="2"/>
        <charset val="238"/>
      </rPr>
      <t>,</t>
    </r>
  </si>
  <si>
    <t xml:space="preserve"> Vrednost pridelave_tržna + Subvencije – Stroški kupljenega blaga in storitev</t>
  </si>
  <si>
    <t>"Bruto dodana vrednost" =</t>
  </si>
  <si>
    <t>a. neto plačo v višini povprečne neto plače v Republiki Sloveniji,</t>
  </si>
  <si>
    <t>glavni in stranski</t>
  </si>
  <si>
    <t xml:space="preserve"> - vrednost glavenga in stranskega pridelka</t>
  </si>
  <si>
    <t>koruzaE</t>
  </si>
  <si>
    <t>koruzaF</t>
  </si>
  <si>
    <t>semenski material</t>
  </si>
  <si>
    <t>krompirD</t>
  </si>
  <si>
    <t>krompirE</t>
  </si>
  <si>
    <t>krompirF</t>
  </si>
  <si>
    <t>Pridelek na trs</t>
  </si>
  <si>
    <t>jabolkaD</t>
  </si>
  <si>
    <t>jabolkaE</t>
  </si>
  <si>
    <t>Kos/ha</t>
  </si>
  <si>
    <t>Število dreves</t>
  </si>
  <si>
    <t>hruskeC</t>
  </si>
  <si>
    <t>hruskeD</t>
  </si>
  <si>
    <t>hruskeE</t>
  </si>
  <si>
    <t>breskveC</t>
  </si>
  <si>
    <t>breskveD</t>
  </si>
  <si>
    <t>breskveE</t>
  </si>
  <si>
    <t>grozpodE</t>
  </si>
  <si>
    <t>grozpodD</t>
  </si>
  <si>
    <t>grozpodF</t>
  </si>
  <si>
    <t>Indeks: M 4 = 100</t>
  </si>
  <si>
    <t>Indeks: M 4 =100</t>
  </si>
  <si>
    <t>BRUTO DODANA VREDNOST</t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</si>
  <si>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KORUZA ZA ZRNJE</t>
    </r>
    <r>
      <rPr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</si>
  <si>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KROMPIR POZNI</t>
    </r>
    <r>
      <rPr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</si>
  <si>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NAMIZNA JABOLKA</t>
    </r>
    <r>
      <rPr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</si>
  <si>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NAMIZNE HRUŠKE</t>
    </r>
    <r>
      <rPr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</si>
  <si>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NAMIZNE BRESKVE</t>
    </r>
    <r>
      <rPr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</si>
  <si>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GROZDJE VERTIKALA</t>
    </r>
    <r>
      <rPr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</si>
  <si>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GROZDJE VERTIKALA</t>
    </r>
    <r>
      <rPr>
        <b/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</si>
  <si>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NAMIZNE BRESKVE</t>
    </r>
    <r>
      <rPr>
        <b/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</si>
  <si>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NAMIZNE HRUŠKE</t>
    </r>
    <r>
      <rPr>
        <b/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</si>
  <si>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NAMIZNA JABOLKA</t>
    </r>
    <r>
      <rPr>
        <b/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</si>
  <si>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KROMPIR POZNI</t>
    </r>
    <r>
      <rPr>
        <b/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</si>
  <si>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KORUZA ZA ZRNJE</t>
    </r>
    <r>
      <rPr>
        <b/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</si>
  <si>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OLJNA OGRŠČICA</t>
    </r>
    <r>
      <rPr>
        <b/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</si>
  <si>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GROZDJE TERASE</t>
    </r>
    <r>
      <rPr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</si>
  <si>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GROZDJE TERASE</t>
    </r>
    <r>
      <rPr>
        <b/>
        <sz val="9"/>
        <rFont val="Arial"/>
        <family val="2"/>
        <charset val="238"/>
      </rPr>
      <t>,</t>
    </r>
  </si>
  <si>
    <t>XX</t>
  </si>
  <si>
    <t>Odkupna cena; ocena KIS</t>
  </si>
  <si>
    <t>GRAFI TU LE ZA ANALIZO, IZPIS NA leto!</t>
  </si>
  <si>
    <t>(prva ocena)</t>
  </si>
  <si>
    <t>Stroški zmanjšani za subvencije</t>
  </si>
  <si>
    <t>Koruza za zrnje</t>
  </si>
  <si>
    <t>Neto pridelek (14 % vlage)</t>
  </si>
  <si>
    <t>Vlaga ob žetvi</t>
  </si>
  <si>
    <t>%</t>
  </si>
  <si>
    <t>Gnojila</t>
  </si>
  <si>
    <t>Seme</t>
  </si>
  <si>
    <t>Sredstva za varstvo</t>
  </si>
  <si>
    <t>Kombajniranje</t>
  </si>
  <si>
    <t>Sušenje</t>
  </si>
  <si>
    <t>Domače strojne storitve</t>
  </si>
  <si>
    <t>Stroški glavnega pridelka, na kg</t>
  </si>
  <si>
    <t>– Subvencije</t>
  </si>
  <si>
    <t>Stroški zmanjšani za subvencije, na kg</t>
  </si>
  <si>
    <t>KG september</t>
  </si>
  <si>
    <t>Stroški blaga in storitev, od tega:</t>
  </si>
  <si>
    <t xml:space="preserve">prva ocena letine </t>
  </si>
  <si>
    <t>Indeks 2023/2022</t>
  </si>
  <si>
    <t>Indeks 2023/22</t>
  </si>
  <si>
    <t xml:space="preserve">2023 </t>
  </si>
  <si>
    <t/>
  </si>
  <si>
    <t>2023, upoštevani stroški zmanjšani za subvencije</t>
  </si>
  <si>
    <t>2023</t>
  </si>
  <si>
    <t>Ječmen tržni</t>
  </si>
  <si>
    <t>Oljna ogrščica</t>
  </si>
  <si>
    <t>Krompir pozni</t>
  </si>
  <si>
    <t>Jabolka namizna</t>
  </si>
  <si>
    <t>Hruške namizne</t>
  </si>
  <si>
    <t>Breskve namizne</t>
  </si>
  <si>
    <t>Grozdje-vertikala podravska</t>
  </si>
  <si>
    <t>Grozdje-terase primorska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</si>
</sst>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.0"/>
    <numFmt numFmtId="165" formatCode="#,##0.000"/>
    <numFmt numFmtId="166" formatCode="0.000"/>
    <numFmt numFmtId="167" formatCode="0.0000"/>
    <numFmt numFmtId="168" formatCode="0.0"/>
    <numFmt numFmtId="169" formatCode="#,##0.0000"/>
  </numFmts>
  <fonts count="137" x14ac:knownFonts="1">
    <font>
      <sz val="10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rgb="FF7030A0"/>
      <name val="Arial"/>
      <family val="2"/>
      <charset val="238"/>
    </font>
    <font>
      <b/>
      <sz val="8"/>
      <name val="Arial"/>
      <family val="2"/>
      <charset val="238"/>
    </font>
    <font>
      <sz val="10"/>
      <name val="Times New Roman"/>
      <family val="1"/>
      <charset val="238"/>
    </font>
    <font>
      <b/>
      <i/>
      <sz val="8"/>
      <name val="Arial"/>
      <family val="2"/>
      <charset val="238"/>
    </font>
    <font>
      <b/>
      <i/>
      <sz val="8"/>
      <color rgb="FF0070C0"/>
      <name val="Arial"/>
      <family val="2"/>
      <charset val="238"/>
    </font>
    <font>
      <sz val="8"/>
      <color rgb="FF0070C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0070C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8"/>
      <color theme="4" tint="-0.249977111117893"/>
      <name val="Arial"/>
      <family val="2"/>
      <charset val="238"/>
    </font>
    <font>
      <b/>
      <sz val="8"/>
      <color theme="4" tint="-0.249977111117893"/>
      <name val="Arial"/>
      <family val="2"/>
      <charset val="238"/>
    </font>
    <font>
      <b/>
      <sz val="12"/>
      <name val="Arial"/>
      <family val="2"/>
      <charset val="238"/>
    </font>
    <font>
      <sz val="8"/>
      <color theme="7" tint="-0.499984740745262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i/>
      <sz val="8"/>
      <color rgb="FF0070C0"/>
      <name val="Arial"/>
      <family val="2"/>
      <charset val="238"/>
    </font>
    <font>
      <sz val="10"/>
      <color rgb="FF0070C0"/>
      <name val="Times New Roman"/>
      <family val="1"/>
      <charset val="238"/>
    </font>
    <font>
      <b/>
      <sz val="10"/>
      <color indexed="12"/>
      <name val="Arial"/>
      <family val="2"/>
      <charset val="238"/>
    </font>
    <font>
      <b/>
      <sz val="9"/>
      <name val="Arial CE"/>
      <charset val="238"/>
    </font>
    <font>
      <sz val="8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sz val="9"/>
      <name val="Arial"/>
      <family val="2"/>
      <charset val="238"/>
    </font>
    <font>
      <i/>
      <sz val="8"/>
      <color theme="7" tint="-0.499984740745262"/>
      <name val="Arial"/>
      <family val="2"/>
      <charset val="238"/>
    </font>
    <font>
      <b/>
      <sz val="8"/>
      <color theme="7" tint="-0.499984740745262"/>
      <name val="Arial"/>
      <family val="2"/>
      <charset val="238"/>
    </font>
    <font>
      <sz val="8"/>
      <color indexed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0"/>
      <color rgb="FF0070C0"/>
      <name val="Arial"/>
      <family val="2"/>
      <charset val="238"/>
    </font>
    <font>
      <b/>
      <i/>
      <sz val="10"/>
      <color theme="7" tint="-0.499984740745262"/>
      <name val="Arial"/>
      <family val="2"/>
      <charset val="238"/>
    </font>
    <font>
      <b/>
      <sz val="8"/>
      <color theme="6" tint="-0.499984740745262"/>
      <name val="Arial"/>
      <family val="2"/>
      <charset val="238"/>
    </font>
    <font>
      <sz val="8"/>
      <color theme="3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9"/>
      <color theme="6" tint="-0.499984740745262"/>
      <name val="Arial"/>
      <family val="2"/>
      <charset val="238"/>
    </font>
    <font>
      <b/>
      <sz val="9"/>
      <color rgb="FF0070C0"/>
      <name val="Arial"/>
      <family val="2"/>
      <charset val="238"/>
    </font>
    <font>
      <b/>
      <i/>
      <sz val="9"/>
      <color rgb="FF0070C0"/>
      <name val="Arial"/>
      <family val="2"/>
      <charset val="238"/>
    </font>
    <font>
      <i/>
      <sz val="9"/>
      <name val="Arial"/>
      <family val="2"/>
      <charset val="238"/>
    </font>
    <font>
      <b/>
      <sz val="9"/>
      <color indexed="12"/>
      <name val="Arial"/>
      <family val="2"/>
      <charset val="238"/>
    </font>
    <font>
      <i/>
      <sz val="9"/>
      <color rgb="FF7030A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u/>
      <sz val="7.5"/>
      <color indexed="12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2"/>
      <name val="Courier"/>
      <family val="1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rgb="FFFF0000"/>
      <name val="Arial"/>
      <family val="2"/>
      <charset val="238"/>
    </font>
    <font>
      <sz val="8"/>
      <color theme="6" tint="-0.249977111117893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  <charset val="238"/>
    </font>
    <font>
      <sz val="11"/>
      <color indexed="9"/>
      <name val="Arial"/>
      <family val="2"/>
      <charset val="238"/>
    </font>
    <font>
      <sz val="11"/>
      <color indexed="17"/>
      <name val="Arial"/>
      <family val="2"/>
      <charset val="238"/>
    </font>
    <font>
      <b/>
      <sz val="11"/>
      <color indexed="63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1"/>
      <color indexed="60"/>
      <name val="Arial"/>
      <family val="2"/>
      <charset val="238"/>
    </font>
    <font>
      <sz val="11"/>
      <color indexed="10"/>
      <name val="Arial"/>
      <family val="2"/>
      <charset val="238"/>
    </font>
    <font>
      <i/>
      <sz val="11"/>
      <color indexed="23"/>
      <name val="Arial"/>
      <family val="2"/>
      <charset val="238"/>
    </font>
    <font>
      <sz val="11"/>
      <color indexed="52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1"/>
      <color indexed="52"/>
      <name val="Arial"/>
      <family val="2"/>
      <charset val="238"/>
    </font>
    <font>
      <sz val="11"/>
      <color indexed="20"/>
      <name val="Arial"/>
      <family val="2"/>
      <charset val="238"/>
    </font>
    <font>
      <sz val="11"/>
      <color indexed="62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theme="6" tint="-0.499984740745262"/>
      <name val="Arial"/>
      <family val="2"/>
      <charset val="238"/>
    </font>
    <font>
      <b/>
      <sz val="9"/>
      <color theme="5" tint="-0.499984740745262"/>
      <name val="Arial"/>
      <family val="2"/>
      <charset val="238"/>
    </font>
    <font>
      <sz val="8"/>
      <color theme="6" tint="-0.499984740745262"/>
      <name val="Arial"/>
      <family val="2"/>
      <charset val="238"/>
    </font>
    <font>
      <sz val="9"/>
      <name val="Times New Roman"/>
      <family val="1"/>
      <charset val="238"/>
    </font>
    <font>
      <b/>
      <sz val="9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sz val="9"/>
      <color theme="7" tint="-0.499984740745262"/>
      <name val="Arial"/>
      <family val="2"/>
      <charset val="238"/>
    </font>
    <font>
      <i/>
      <sz val="9"/>
      <color rgb="FF0070C0"/>
      <name val="Arial"/>
      <family val="2"/>
      <charset val="238"/>
    </font>
    <font>
      <b/>
      <sz val="9"/>
      <color theme="0"/>
      <name val="Times New Roman"/>
      <family val="1"/>
      <charset val="238"/>
    </font>
    <font>
      <i/>
      <sz val="9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name val="Times New Roman"/>
      <family val="1"/>
      <charset val="238"/>
    </font>
    <font>
      <i/>
      <sz val="9"/>
      <color rgb="FFFF0000"/>
      <name val="Arial"/>
      <family val="2"/>
      <charset val="238"/>
    </font>
    <font>
      <sz val="12"/>
      <color theme="6" tint="-0.499984740745262"/>
      <name val="Arial"/>
      <family val="2"/>
      <charset val="238"/>
    </font>
    <font>
      <b/>
      <sz val="9"/>
      <color theme="6" tint="-0.499984740745262"/>
      <name val="Arial CE"/>
      <charset val="238"/>
    </font>
    <font>
      <sz val="9"/>
      <color theme="4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indexed="9"/>
      <name val="Arial"/>
      <family val="2"/>
      <charset val="238"/>
    </font>
    <font>
      <sz val="9"/>
      <color theme="5" tint="-0.499984740745262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i/>
      <sz val="9"/>
      <color theme="3" tint="0.39997558519241921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6" tint="-0.499984740745262"/>
      <name val="Arial"/>
      <family val="2"/>
      <charset val="238"/>
    </font>
    <font>
      <b/>
      <u/>
      <sz val="9"/>
      <color rgb="FF0070C0"/>
      <name val="Arial"/>
      <family val="2"/>
      <charset val="238"/>
    </font>
    <font>
      <b/>
      <sz val="16"/>
      <name val="Arial"/>
      <family val="2"/>
      <charset val="238"/>
    </font>
    <font>
      <b/>
      <sz val="16"/>
      <name val="Times New Roman"/>
      <family val="1"/>
      <charset val="238"/>
    </font>
    <font>
      <sz val="8"/>
      <color theme="4"/>
      <name val="Arial"/>
      <family val="2"/>
      <charset val="238"/>
    </font>
    <font>
      <sz val="8"/>
      <color theme="9"/>
      <name val="Arial"/>
      <family val="2"/>
      <charset val="238"/>
    </font>
    <font>
      <sz val="10"/>
      <color rgb="FF000000"/>
      <name val="Times New Roman"/>
      <family val="1"/>
      <charset val="238"/>
    </font>
    <font>
      <u/>
      <sz val="10"/>
      <color rgb="FF0563C1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</borders>
  <cellStyleXfs count="324">
    <xf numFmtId="0" fontId="0" fillId="0" borderId="0"/>
    <xf numFmtId="0" fontId="10" fillId="0" borderId="0"/>
    <xf numFmtId="0" fontId="17" fillId="0" borderId="0"/>
    <xf numFmtId="0" fontId="17" fillId="0" borderId="0"/>
    <xf numFmtId="0" fontId="6" fillId="0" borderId="0"/>
    <xf numFmtId="0" fontId="5" fillId="0" borderId="0"/>
    <xf numFmtId="0" fontId="4" fillId="0" borderId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3" borderId="0" applyNumberFormat="0" applyBorder="0" applyAlignment="0" applyProtection="0"/>
    <xf numFmtId="0" fontId="49" fillId="16" borderId="0" applyNumberFormat="0" applyBorder="0" applyAlignment="0" applyProtection="0"/>
    <xf numFmtId="0" fontId="49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51" fillId="12" borderId="0" applyNumberFormat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24" borderId="1" applyNumberFormat="0" applyAlignment="0" applyProtection="0"/>
    <xf numFmtId="0" fontId="54" fillId="0" borderId="0" applyNumberFormat="0" applyFill="0" applyBorder="0" applyAlignment="0" applyProtection="0"/>
    <xf numFmtId="0" fontId="55" fillId="0" borderId="2" applyNumberFormat="0" applyFill="0" applyAlignment="0" applyProtection="0"/>
    <xf numFmtId="0" fontId="56" fillId="0" borderId="3" applyNumberFormat="0" applyFill="0" applyAlignment="0" applyProtection="0"/>
    <xf numFmtId="0" fontId="57" fillId="0" borderId="4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0"/>
    <xf numFmtId="0" fontId="58" fillId="0" borderId="0"/>
    <xf numFmtId="0" fontId="49" fillId="0" borderId="0"/>
    <xf numFmtId="0" fontId="49" fillId="0" borderId="0"/>
    <xf numFmtId="0" fontId="59" fillId="25" borderId="0" applyNumberFormat="0" applyBorder="0" applyAlignment="0" applyProtection="0"/>
    <xf numFmtId="0" fontId="17" fillId="26" borderId="5" applyNumberFormat="0" applyFon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0" fillId="27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30" borderId="0" applyNumberFormat="0" applyBorder="0" applyAlignment="0" applyProtection="0"/>
    <xf numFmtId="0" fontId="62" fillId="0" borderId="6" applyNumberFormat="0" applyFill="0" applyAlignment="0" applyProtection="0"/>
    <xf numFmtId="0" fontId="63" fillId="31" borderId="7" applyNumberFormat="0" applyAlignment="0" applyProtection="0"/>
    <xf numFmtId="0" fontId="64" fillId="24" borderId="8" applyNumberFormat="0" applyAlignment="0" applyProtection="0"/>
    <xf numFmtId="0" fontId="65" fillId="11" borderId="0" applyNumberFormat="0" applyBorder="0" applyAlignment="0" applyProtection="0"/>
    <xf numFmtId="0" fontId="66" fillId="15" borderId="8" applyNumberFormat="0" applyAlignment="0" applyProtection="0"/>
    <xf numFmtId="0" fontId="67" fillId="0" borderId="9" applyNumberFormat="0" applyFill="0" applyAlignment="0" applyProtection="0"/>
    <xf numFmtId="0" fontId="10" fillId="0" borderId="0"/>
    <xf numFmtId="0" fontId="70" fillId="0" borderId="0"/>
    <xf numFmtId="0" fontId="70" fillId="10" borderId="0" applyNumberFormat="0" applyBorder="0" applyAlignment="0" applyProtection="0"/>
    <xf numFmtId="0" fontId="70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5" borderId="0" applyNumberFormat="0" applyBorder="0" applyAlignment="0" applyProtection="0"/>
    <xf numFmtId="0" fontId="70" fillId="16" borderId="0" applyNumberFormat="0" applyBorder="0" applyAlignment="0" applyProtection="0"/>
    <xf numFmtId="0" fontId="70" fillId="17" borderId="0" applyNumberFormat="0" applyBorder="0" applyAlignment="0" applyProtection="0"/>
    <xf numFmtId="0" fontId="70" fillId="18" borderId="0" applyNumberFormat="0" applyBorder="0" applyAlignment="0" applyProtection="0"/>
    <xf numFmtId="0" fontId="70" fillId="13" borderId="0" applyNumberFormat="0" applyBorder="0" applyAlignment="0" applyProtection="0"/>
    <xf numFmtId="0" fontId="70" fillId="16" borderId="0" applyNumberFormat="0" applyBorder="0" applyAlignment="0" applyProtection="0"/>
    <xf numFmtId="0" fontId="70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3" borderId="0" applyNumberFormat="0" applyBorder="0" applyAlignment="0" applyProtection="0"/>
    <xf numFmtId="0" fontId="72" fillId="12" borderId="0" applyNumberFormat="0" applyBorder="0" applyAlignment="0" applyProtection="0"/>
    <xf numFmtId="0" fontId="73" fillId="24" borderId="1" applyNumberFormat="0" applyAlignment="0" applyProtection="0"/>
    <xf numFmtId="0" fontId="74" fillId="0" borderId="0" applyNumberFormat="0" applyFill="0" applyBorder="0" applyAlignment="0" applyProtection="0"/>
    <xf numFmtId="0" fontId="75" fillId="0" borderId="2" applyNumberFormat="0" applyFill="0" applyAlignment="0" applyProtection="0"/>
    <xf numFmtId="0" fontId="76" fillId="0" borderId="3" applyNumberFormat="0" applyFill="0" applyAlignment="0" applyProtection="0"/>
    <xf numFmtId="0" fontId="77" fillId="0" borderId="4" applyNumberFormat="0" applyFill="0" applyAlignment="0" applyProtection="0"/>
    <xf numFmtId="0" fontId="77" fillId="0" borderId="0" applyNumberFormat="0" applyFill="0" applyBorder="0" applyAlignment="0" applyProtection="0"/>
    <xf numFmtId="0" fontId="78" fillId="25" borderId="0" applyNumberFormat="0" applyBorder="0" applyAlignment="0" applyProtection="0"/>
    <xf numFmtId="0" fontId="70" fillId="26" borderId="5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1" fillId="27" borderId="0" applyNumberFormat="0" applyBorder="0" applyAlignment="0" applyProtection="0"/>
    <xf numFmtId="0" fontId="71" fillId="28" borderId="0" applyNumberFormat="0" applyBorder="0" applyAlignment="0" applyProtection="0"/>
    <xf numFmtId="0" fontId="71" fillId="29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30" borderId="0" applyNumberFormat="0" applyBorder="0" applyAlignment="0" applyProtection="0"/>
    <xf numFmtId="0" fontId="81" fillId="0" borderId="6" applyNumberFormat="0" applyFill="0" applyAlignment="0" applyProtection="0"/>
    <xf numFmtId="0" fontId="82" fillId="31" borderId="7" applyNumberFormat="0" applyAlignment="0" applyProtection="0"/>
    <xf numFmtId="0" fontId="83" fillId="24" borderId="8" applyNumberFormat="0" applyAlignment="0" applyProtection="0"/>
    <xf numFmtId="0" fontId="84" fillId="11" borderId="0" applyNumberFormat="0" applyBorder="0" applyAlignment="0" applyProtection="0"/>
    <xf numFmtId="0" fontId="85" fillId="15" borderId="8" applyNumberFormat="0" applyAlignment="0" applyProtection="0"/>
    <xf numFmtId="0" fontId="86" fillId="0" borderId="9" applyNumberFormat="0" applyFill="0" applyAlignment="0" applyProtection="0"/>
    <xf numFmtId="0" fontId="17" fillId="0" borderId="0"/>
    <xf numFmtId="0" fontId="70" fillId="10" borderId="0" applyNumberFormat="0" applyBorder="0" applyAlignment="0" applyProtection="0"/>
    <xf numFmtId="0" fontId="70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5" borderId="0" applyNumberFormat="0" applyBorder="0" applyAlignment="0" applyProtection="0"/>
    <xf numFmtId="0" fontId="70" fillId="16" borderId="0" applyNumberFormat="0" applyBorder="0" applyAlignment="0" applyProtection="0"/>
    <xf numFmtId="0" fontId="70" fillId="17" borderId="0" applyNumberFormat="0" applyBorder="0" applyAlignment="0" applyProtection="0"/>
    <xf numFmtId="0" fontId="70" fillId="18" borderId="0" applyNumberFormat="0" applyBorder="0" applyAlignment="0" applyProtection="0"/>
    <xf numFmtId="0" fontId="70" fillId="13" borderId="0" applyNumberFormat="0" applyBorder="0" applyAlignment="0" applyProtection="0"/>
    <xf numFmtId="0" fontId="70" fillId="16" borderId="0" applyNumberFormat="0" applyBorder="0" applyAlignment="0" applyProtection="0"/>
    <xf numFmtId="0" fontId="70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3" borderId="0" applyNumberFormat="0" applyBorder="0" applyAlignment="0" applyProtection="0"/>
    <xf numFmtId="0" fontId="72" fillId="12" borderId="0" applyNumberFormat="0" applyBorder="0" applyAlignment="0" applyProtection="0"/>
    <xf numFmtId="0" fontId="73" fillId="24" borderId="1" applyNumberFormat="0" applyAlignment="0" applyProtection="0"/>
    <xf numFmtId="0" fontId="74" fillId="0" borderId="0" applyNumberFormat="0" applyFill="0" applyBorder="0" applyAlignment="0" applyProtection="0"/>
    <xf numFmtId="0" fontId="75" fillId="0" borderId="2" applyNumberFormat="0" applyFill="0" applyAlignment="0" applyProtection="0"/>
    <xf numFmtId="0" fontId="76" fillId="0" borderId="3" applyNumberFormat="0" applyFill="0" applyAlignment="0" applyProtection="0"/>
    <xf numFmtId="0" fontId="77" fillId="0" borderId="4" applyNumberFormat="0" applyFill="0" applyAlignment="0" applyProtection="0"/>
    <xf numFmtId="0" fontId="77" fillId="0" borderId="0" applyNumberFormat="0" applyFill="0" applyBorder="0" applyAlignment="0" applyProtection="0"/>
    <xf numFmtId="0" fontId="78" fillId="25" borderId="0" applyNumberFormat="0" applyBorder="0" applyAlignment="0" applyProtection="0"/>
    <xf numFmtId="0" fontId="70" fillId="26" borderId="5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1" fillId="27" borderId="0" applyNumberFormat="0" applyBorder="0" applyAlignment="0" applyProtection="0"/>
    <xf numFmtId="0" fontId="71" fillId="28" borderId="0" applyNumberFormat="0" applyBorder="0" applyAlignment="0" applyProtection="0"/>
    <xf numFmtId="0" fontId="71" fillId="29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30" borderId="0" applyNumberFormat="0" applyBorder="0" applyAlignment="0" applyProtection="0"/>
    <xf numFmtId="0" fontId="81" fillId="0" borderId="6" applyNumberFormat="0" applyFill="0" applyAlignment="0" applyProtection="0"/>
    <xf numFmtId="0" fontId="82" fillId="31" borderId="7" applyNumberFormat="0" applyAlignment="0" applyProtection="0"/>
    <xf numFmtId="0" fontId="83" fillId="24" borderId="8" applyNumberFormat="0" applyAlignment="0" applyProtection="0"/>
    <xf numFmtId="0" fontId="84" fillId="11" borderId="0" applyNumberFormat="0" applyBorder="0" applyAlignment="0" applyProtection="0"/>
    <xf numFmtId="0" fontId="85" fillId="15" borderId="8" applyNumberFormat="0" applyAlignment="0" applyProtection="0"/>
    <xf numFmtId="0" fontId="86" fillId="0" borderId="9" applyNumberFormat="0" applyFill="0" applyAlignment="0" applyProtection="0"/>
    <xf numFmtId="0" fontId="64" fillId="24" borderId="8" applyNumberFormat="0" applyAlignment="0" applyProtection="0"/>
    <xf numFmtId="44" fontId="70" fillId="0" borderId="0" applyFont="0" applyFill="0" applyBorder="0" applyAlignment="0" applyProtection="0"/>
    <xf numFmtId="0" fontId="66" fillId="15" borderId="8" applyNumberFormat="0" applyAlignment="0" applyProtection="0"/>
    <xf numFmtId="0" fontId="3" fillId="0" borderId="0"/>
    <xf numFmtId="0" fontId="70" fillId="0" borderId="0"/>
    <xf numFmtId="0" fontId="49" fillId="0" borderId="0"/>
    <xf numFmtId="0" fontId="87" fillId="10" borderId="0" applyNumberFormat="0" applyBorder="0" applyAlignment="0" applyProtection="0"/>
    <xf numFmtId="0" fontId="87" fillId="11" borderId="0" applyNumberFormat="0" applyBorder="0" applyAlignment="0" applyProtection="0"/>
    <xf numFmtId="0" fontId="87" fillId="12" borderId="0" applyNumberFormat="0" applyBorder="0" applyAlignment="0" applyProtection="0"/>
    <xf numFmtId="0" fontId="87" fillId="13" borderId="0" applyNumberFormat="0" applyBorder="0" applyAlignment="0" applyProtection="0"/>
    <xf numFmtId="0" fontId="87" fillId="14" borderId="0" applyNumberFormat="0" applyBorder="0" applyAlignment="0" applyProtection="0"/>
    <xf numFmtId="0" fontId="87" fillId="15" borderId="0" applyNumberFormat="0" applyBorder="0" applyAlignment="0" applyProtection="0"/>
    <xf numFmtId="0" fontId="87" fillId="16" borderId="0" applyNumberFormat="0" applyBorder="0" applyAlignment="0" applyProtection="0"/>
    <xf numFmtId="0" fontId="87" fillId="17" borderId="0" applyNumberFormat="0" applyBorder="0" applyAlignment="0" applyProtection="0"/>
    <xf numFmtId="0" fontId="87" fillId="18" borderId="0" applyNumberFormat="0" applyBorder="0" applyAlignment="0" applyProtection="0"/>
    <xf numFmtId="0" fontId="87" fillId="13" borderId="0" applyNumberFormat="0" applyBorder="0" applyAlignment="0" applyProtection="0"/>
    <xf numFmtId="0" fontId="87" fillId="16" borderId="0" applyNumberFormat="0" applyBorder="0" applyAlignment="0" applyProtection="0"/>
    <xf numFmtId="0" fontId="87" fillId="19" borderId="0" applyNumberFormat="0" applyBorder="0" applyAlignment="0" applyProtection="0"/>
    <xf numFmtId="0" fontId="88" fillId="20" borderId="0" applyNumberFormat="0" applyBorder="0" applyAlignment="0" applyProtection="0"/>
    <xf numFmtId="0" fontId="88" fillId="17" borderId="0" applyNumberFormat="0" applyBorder="0" applyAlignment="0" applyProtection="0"/>
    <xf numFmtId="0" fontId="88" fillId="18" borderId="0" applyNumberFormat="0" applyBorder="0" applyAlignment="0" applyProtection="0"/>
    <xf numFmtId="0" fontId="88" fillId="21" borderId="0" applyNumberFormat="0" applyBorder="0" applyAlignment="0" applyProtection="0"/>
    <xf numFmtId="0" fontId="88" fillId="22" borderId="0" applyNumberFormat="0" applyBorder="0" applyAlignment="0" applyProtection="0"/>
    <xf numFmtId="0" fontId="88" fillId="23" borderId="0" applyNumberFormat="0" applyBorder="0" applyAlignment="0" applyProtection="0"/>
    <xf numFmtId="0" fontId="89" fillId="12" borderId="0" applyNumberFormat="0" applyBorder="0" applyAlignment="0" applyProtection="0"/>
    <xf numFmtId="0" fontId="90" fillId="24" borderId="1" applyNumberFormat="0" applyAlignment="0" applyProtection="0"/>
    <xf numFmtId="0" fontId="91" fillId="0" borderId="2" applyNumberFormat="0" applyFill="0" applyAlignment="0" applyProtection="0"/>
    <xf numFmtId="0" fontId="92" fillId="0" borderId="3" applyNumberFormat="0" applyFill="0" applyAlignment="0" applyProtection="0"/>
    <xf numFmtId="0" fontId="93" fillId="0" borderId="4" applyNumberFormat="0" applyFill="0" applyAlignment="0" applyProtection="0"/>
    <xf numFmtId="0" fontId="93" fillId="0" borderId="0" applyNumberFormat="0" applyFill="0" applyBorder="0" applyAlignment="0" applyProtection="0"/>
    <xf numFmtId="0" fontId="94" fillId="25" borderId="0" applyNumberFormat="0" applyBorder="0" applyAlignment="0" applyProtection="0"/>
    <xf numFmtId="0" fontId="49" fillId="26" borderId="5" applyNumberFormat="0" applyFont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88" fillId="27" borderId="0" applyNumberFormat="0" applyBorder="0" applyAlignment="0" applyProtection="0"/>
    <xf numFmtId="0" fontId="88" fillId="28" borderId="0" applyNumberFormat="0" applyBorder="0" applyAlignment="0" applyProtection="0"/>
    <xf numFmtId="0" fontId="88" fillId="29" borderId="0" applyNumberFormat="0" applyBorder="0" applyAlignment="0" applyProtection="0"/>
    <xf numFmtId="0" fontId="88" fillId="21" borderId="0" applyNumberFormat="0" applyBorder="0" applyAlignment="0" applyProtection="0"/>
    <xf numFmtId="0" fontId="88" fillId="22" borderId="0" applyNumberFormat="0" applyBorder="0" applyAlignment="0" applyProtection="0"/>
    <xf numFmtId="0" fontId="88" fillId="30" borderId="0" applyNumberFormat="0" applyBorder="0" applyAlignment="0" applyProtection="0"/>
    <xf numFmtId="0" fontId="97" fillId="0" borderId="6" applyNumberFormat="0" applyFill="0" applyAlignment="0" applyProtection="0"/>
    <xf numFmtId="0" fontId="98" fillId="31" borderId="7" applyNumberFormat="0" applyAlignment="0" applyProtection="0"/>
    <xf numFmtId="0" fontId="99" fillId="24" borderId="8" applyNumberFormat="0" applyAlignment="0" applyProtection="0"/>
    <xf numFmtId="0" fontId="100" fillId="11" borderId="0" applyNumberFormat="0" applyBorder="0" applyAlignment="0" applyProtection="0"/>
    <xf numFmtId="0" fontId="101" fillId="15" borderId="8" applyNumberFormat="0" applyAlignment="0" applyProtection="0"/>
    <xf numFmtId="0" fontId="102" fillId="0" borderId="9" applyNumberFormat="0" applyFill="0" applyAlignment="0" applyProtection="0"/>
    <xf numFmtId="0" fontId="17" fillId="26" borderId="5" applyNumberFormat="0" applyFont="0" applyAlignment="0" applyProtection="0"/>
    <xf numFmtId="0" fontId="53" fillId="24" borderId="1" applyNumberFormat="0" applyAlignment="0" applyProtection="0"/>
    <xf numFmtId="0" fontId="67" fillId="0" borderId="9" applyNumberFormat="0" applyFill="0" applyAlignment="0" applyProtection="0"/>
    <xf numFmtId="0" fontId="73" fillId="24" borderId="1" applyNumberFormat="0" applyAlignment="0" applyProtection="0"/>
    <xf numFmtId="0" fontId="70" fillId="26" borderId="5" applyNumberFormat="0" applyFont="0" applyAlignment="0" applyProtection="0"/>
    <xf numFmtId="0" fontId="83" fillId="24" borderId="8" applyNumberFormat="0" applyAlignment="0" applyProtection="0"/>
    <xf numFmtId="0" fontId="85" fillId="15" borderId="8" applyNumberFormat="0" applyAlignment="0" applyProtection="0"/>
    <xf numFmtId="0" fontId="86" fillId="0" borderId="9" applyNumberFormat="0" applyFill="0" applyAlignment="0" applyProtection="0"/>
    <xf numFmtId="0" fontId="53" fillId="24" borderId="1" applyNumberFormat="0" applyAlignment="0" applyProtection="0"/>
    <xf numFmtId="0" fontId="17" fillId="26" borderId="5" applyNumberFormat="0" applyFont="0" applyAlignment="0" applyProtection="0"/>
    <xf numFmtId="0" fontId="64" fillId="24" borderId="8" applyNumberFormat="0" applyAlignment="0" applyProtection="0"/>
    <xf numFmtId="0" fontId="66" fillId="15" borderId="8" applyNumberFormat="0" applyAlignment="0" applyProtection="0"/>
    <xf numFmtId="0" fontId="67" fillId="0" borderId="9" applyNumberFormat="0" applyFill="0" applyAlignment="0" applyProtection="0"/>
    <xf numFmtId="0" fontId="17" fillId="0" borderId="0"/>
    <xf numFmtId="0" fontId="3" fillId="0" borderId="0"/>
    <xf numFmtId="0" fontId="90" fillId="24" borderId="1" applyNumberFormat="0" applyAlignment="0" applyProtection="0"/>
    <xf numFmtId="0" fontId="3" fillId="0" borderId="0"/>
    <xf numFmtId="0" fontId="70" fillId="0" borderId="0"/>
    <xf numFmtId="0" fontId="58" fillId="0" borderId="0"/>
    <xf numFmtId="0" fontId="53" fillId="24" borderId="1" applyNumberFormat="0" applyAlignment="0" applyProtection="0"/>
    <xf numFmtId="0" fontId="73" fillId="24" borderId="1" applyNumberFormat="0" applyAlignment="0" applyProtection="0"/>
    <xf numFmtId="0" fontId="17" fillId="26" borderId="5" applyNumberFormat="0" applyFont="0" applyAlignment="0" applyProtection="0"/>
    <xf numFmtId="0" fontId="70" fillId="26" borderId="5" applyNumberFormat="0" applyFont="0" applyAlignment="0" applyProtection="0"/>
    <xf numFmtId="0" fontId="64" fillId="24" borderId="8" applyNumberFormat="0" applyAlignment="0" applyProtection="0"/>
    <xf numFmtId="0" fontId="83" fillId="24" borderId="8" applyNumberFormat="0" applyAlignment="0" applyProtection="0"/>
    <xf numFmtId="0" fontId="66" fillId="15" borderId="8" applyNumberFormat="0" applyAlignment="0" applyProtection="0"/>
    <xf numFmtId="0" fontId="85" fillId="15" borderId="8" applyNumberFormat="0" applyAlignment="0" applyProtection="0"/>
    <xf numFmtId="0" fontId="67" fillId="0" borderId="9" applyNumberFormat="0" applyFill="0" applyAlignment="0" applyProtection="0"/>
    <xf numFmtId="0" fontId="86" fillId="0" borderId="9" applyNumberFormat="0" applyFill="0" applyAlignment="0" applyProtection="0"/>
    <xf numFmtId="0" fontId="73" fillId="24" borderId="1" applyNumberFormat="0" applyAlignment="0" applyProtection="0"/>
    <xf numFmtId="0" fontId="17" fillId="0" borderId="0"/>
    <xf numFmtId="0" fontId="70" fillId="26" borderId="5" applyNumberFormat="0" applyFont="0" applyAlignment="0" applyProtection="0"/>
    <xf numFmtId="0" fontId="83" fillId="24" borderId="8" applyNumberFormat="0" applyAlignment="0" applyProtection="0"/>
    <xf numFmtId="0" fontId="85" fillId="15" borderId="8" applyNumberFormat="0" applyAlignment="0" applyProtection="0"/>
    <xf numFmtId="0" fontId="86" fillId="0" borderId="9" applyNumberFormat="0" applyFill="0" applyAlignment="0" applyProtection="0"/>
    <xf numFmtId="0" fontId="17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53" fillId="24" borderId="10" applyNumberFormat="0" applyAlignment="0" applyProtection="0"/>
    <xf numFmtId="0" fontId="57" fillId="0" borderId="4" applyNumberFormat="0" applyFill="0" applyAlignment="0" applyProtection="0"/>
    <xf numFmtId="0" fontId="17" fillId="26" borderId="5" applyNumberFormat="0" applyFont="0" applyAlignment="0" applyProtection="0"/>
    <xf numFmtId="0" fontId="64" fillId="24" borderId="8" applyNumberFormat="0" applyAlignment="0" applyProtection="0"/>
    <xf numFmtId="0" fontId="66" fillId="15" borderId="8" applyNumberFormat="0" applyAlignment="0" applyProtection="0"/>
    <xf numFmtId="0" fontId="67" fillId="0" borderId="9" applyNumberFormat="0" applyFill="0" applyAlignment="0" applyProtection="0"/>
    <xf numFmtId="0" fontId="10" fillId="0" borderId="0"/>
    <xf numFmtId="0" fontId="73" fillId="24" borderId="10" applyNumberFormat="0" applyAlignment="0" applyProtection="0"/>
    <xf numFmtId="0" fontId="73" fillId="24" borderId="10" applyNumberFormat="0" applyAlignment="0" applyProtection="0"/>
    <xf numFmtId="0" fontId="2" fillId="0" borderId="0"/>
    <xf numFmtId="0" fontId="90" fillId="24" borderId="10" applyNumberFormat="0" applyAlignment="0" applyProtection="0"/>
    <xf numFmtId="0" fontId="53" fillId="24" borderId="10" applyNumberFormat="0" applyAlignment="0" applyProtection="0"/>
    <xf numFmtId="0" fontId="73" fillId="24" borderId="10" applyNumberFormat="0" applyAlignment="0" applyProtection="0"/>
    <xf numFmtId="0" fontId="53" fillId="24" borderId="10" applyNumberFormat="0" applyAlignment="0" applyProtection="0"/>
    <xf numFmtId="0" fontId="2" fillId="0" borderId="0"/>
    <xf numFmtId="0" fontId="90" fillId="24" borderId="10" applyNumberFormat="0" applyAlignment="0" applyProtection="0"/>
    <xf numFmtId="0" fontId="2" fillId="0" borderId="0"/>
    <xf numFmtId="0" fontId="53" fillId="24" borderId="10" applyNumberFormat="0" applyAlignment="0" applyProtection="0"/>
    <xf numFmtId="0" fontId="73" fillId="24" borderId="10" applyNumberFormat="0" applyAlignment="0" applyProtection="0"/>
    <xf numFmtId="0" fontId="73" fillId="24" borderId="10" applyNumberFormat="0" applyAlignment="0" applyProtection="0"/>
    <xf numFmtId="0" fontId="2" fillId="0" borderId="0"/>
    <xf numFmtId="0" fontId="2" fillId="0" borderId="0"/>
    <xf numFmtId="0" fontId="2" fillId="0" borderId="0"/>
    <xf numFmtId="0" fontId="53" fillId="24" borderId="14" applyNumberFormat="0" applyAlignment="0" applyProtection="0"/>
    <xf numFmtId="0" fontId="57" fillId="0" borderId="15" applyNumberFormat="0" applyFill="0" applyAlignment="0" applyProtection="0"/>
    <xf numFmtId="0" fontId="90" fillId="24" borderId="14" applyNumberFormat="0" applyAlignment="0" applyProtection="0"/>
    <xf numFmtId="0" fontId="2" fillId="0" borderId="0"/>
    <xf numFmtId="0" fontId="2" fillId="0" borderId="0"/>
    <xf numFmtId="0" fontId="2" fillId="0" borderId="0"/>
    <xf numFmtId="0" fontId="17" fillId="26" borderId="5" applyNumberFormat="0" applyFont="0" applyAlignment="0" applyProtection="0"/>
    <xf numFmtId="0" fontId="17" fillId="26" borderId="5" applyNumberFormat="0" applyFont="0" applyAlignment="0" applyProtection="0"/>
    <xf numFmtId="0" fontId="70" fillId="26" borderId="5" applyNumberFormat="0" applyFont="0" applyAlignment="0" applyProtection="0"/>
    <xf numFmtId="0" fontId="99" fillId="24" borderId="8" applyNumberFormat="0" applyAlignment="0" applyProtection="0"/>
    <xf numFmtId="0" fontId="101" fillId="15" borderId="8" applyNumberFormat="0" applyAlignment="0" applyProtection="0"/>
    <xf numFmtId="0" fontId="102" fillId="0" borderId="9" applyNumberFormat="0" applyFill="0" applyAlignment="0" applyProtection="0"/>
    <xf numFmtId="0" fontId="17" fillId="0" borderId="0"/>
    <xf numFmtId="0" fontId="2" fillId="0" borderId="0"/>
    <xf numFmtId="0" fontId="2" fillId="0" borderId="0"/>
    <xf numFmtId="0" fontId="2" fillId="0" borderId="0"/>
    <xf numFmtId="0" fontId="49" fillId="26" borderId="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73" fillId="24" borderId="14" applyNumberFormat="0" applyAlignment="0" applyProtection="0"/>
    <xf numFmtId="0" fontId="77" fillId="0" borderId="15" applyNumberFormat="0" applyFill="0" applyAlignment="0" applyProtection="0"/>
    <xf numFmtId="0" fontId="73" fillId="24" borderId="14" applyNumberFormat="0" applyAlignment="0" applyProtection="0"/>
    <xf numFmtId="0" fontId="77" fillId="0" borderId="15" applyNumberFormat="0" applyFill="0" applyAlignment="0" applyProtection="0"/>
    <xf numFmtId="0" fontId="70" fillId="26" borderId="5" applyNumberFormat="0" applyFont="0" applyAlignment="0" applyProtection="0"/>
    <xf numFmtId="0" fontId="83" fillId="24" borderId="8" applyNumberFormat="0" applyAlignment="0" applyProtection="0"/>
    <xf numFmtId="0" fontId="85" fillId="15" borderId="8" applyNumberFormat="0" applyAlignment="0" applyProtection="0"/>
    <xf numFmtId="0" fontId="86" fillId="0" borderId="9" applyNumberFormat="0" applyFill="0" applyAlignment="0" applyProtection="0"/>
    <xf numFmtId="0" fontId="64" fillId="24" borderId="8" applyNumberFormat="0" applyAlignment="0" applyProtection="0"/>
    <xf numFmtId="0" fontId="66" fillId="15" borderId="8" applyNumberFormat="0" applyAlignment="0" applyProtection="0"/>
    <xf numFmtId="0" fontId="2" fillId="0" borderId="0"/>
    <xf numFmtId="0" fontId="93" fillId="0" borderId="15" applyNumberFormat="0" applyFill="0" applyAlignment="0" applyProtection="0"/>
    <xf numFmtId="0" fontId="53" fillId="24" borderId="14" applyNumberFormat="0" applyAlignment="0" applyProtection="0"/>
    <xf numFmtId="0" fontId="67" fillId="0" borderId="9" applyNumberFormat="0" applyFill="0" applyAlignment="0" applyProtection="0"/>
    <xf numFmtId="0" fontId="73" fillId="24" borderId="14" applyNumberFormat="0" applyAlignment="0" applyProtection="0"/>
    <xf numFmtId="0" fontId="83" fillId="24" borderId="8" applyNumberFormat="0" applyAlignment="0" applyProtection="0"/>
    <xf numFmtId="0" fontId="85" fillId="15" borderId="8" applyNumberFormat="0" applyAlignment="0" applyProtection="0"/>
    <xf numFmtId="0" fontId="86" fillId="0" borderId="9" applyNumberFormat="0" applyFill="0" applyAlignment="0" applyProtection="0"/>
    <xf numFmtId="0" fontId="53" fillId="24" borderId="14" applyNumberFormat="0" applyAlignment="0" applyProtection="0"/>
    <xf numFmtId="0" fontId="64" fillId="24" borderId="8" applyNumberFormat="0" applyAlignment="0" applyProtection="0"/>
    <xf numFmtId="0" fontId="66" fillId="15" borderId="8" applyNumberFormat="0" applyAlignment="0" applyProtection="0"/>
    <xf numFmtId="0" fontId="67" fillId="0" borderId="9" applyNumberFormat="0" applyFill="0" applyAlignment="0" applyProtection="0"/>
    <xf numFmtId="0" fontId="2" fillId="0" borderId="0"/>
    <xf numFmtId="0" fontId="90" fillId="24" borderId="14" applyNumberFormat="0" applyAlignment="0" applyProtection="0"/>
    <xf numFmtId="0" fontId="2" fillId="0" borderId="0"/>
    <xf numFmtId="0" fontId="73" fillId="24" borderId="14" applyNumberFormat="0" applyAlignment="0" applyProtection="0"/>
    <xf numFmtId="0" fontId="83" fillId="24" borderId="8" applyNumberFormat="0" applyAlignment="0" applyProtection="0"/>
    <xf numFmtId="0" fontId="85" fillId="15" borderId="8" applyNumberFormat="0" applyAlignment="0" applyProtection="0"/>
    <xf numFmtId="0" fontId="86" fillId="0" borderId="9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53" fillId="24" borderId="14" applyNumberFormat="0" applyAlignment="0" applyProtection="0"/>
    <xf numFmtId="0" fontId="73" fillId="24" borderId="14" applyNumberFormat="0" applyAlignment="0" applyProtection="0"/>
    <xf numFmtId="0" fontId="53" fillId="24" borderId="16" applyNumberFormat="0" applyAlignment="0" applyProtection="0"/>
    <xf numFmtId="0" fontId="90" fillId="24" borderId="16" applyNumberFormat="0" applyAlignment="0" applyProtection="0"/>
    <xf numFmtId="0" fontId="73" fillId="24" borderId="16" applyNumberFormat="0" applyAlignment="0" applyProtection="0"/>
    <xf numFmtId="0" fontId="73" fillId="24" borderId="16" applyNumberFormat="0" applyAlignment="0" applyProtection="0"/>
    <xf numFmtId="0" fontId="77" fillId="0" borderId="4" applyNumberFormat="0" applyFill="0" applyAlignment="0" applyProtection="0"/>
    <xf numFmtId="0" fontId="93" fillId="0" borderId="4" applyNumberFormat="0" applyFill="0" applyAlignment="0" applyProtection="0"/>
    <xf numFmtId="0" fontId="53" fillId="24" borderId="16" applyNumberFormat="0" applyAlignment="0" applyProtection="0"/>
    <xf numFmtId="0" fontId="73" fillId="24" borderId="16" applyNumberFormat="0" applyAlignment="0" applyProtection="0"/>
    <xf numFmtId="0" fontId="53" fillId="24" borderId="16" applyNumberFormat="0" applyAlignment="0" applyProtection="0"/>
    <xf numFmtId="0" fontId="90" fillId="24" borderId="16" applyNumberFormat="0" applyAlignment="0" applyProtection="0"/>
    <xf numFmtId="0" fontId="73" fillId="24" borderId="16" applyNumberFormat="0" applyAlignment="0" applyProtection="0"/>
    <xf numFmtId="0" fontId="133" fillId="0" borderId="0"/>
    <xf numFmtId="9" fontId="133" fillId="0" borderId="0" applyFont="0" applyFill="0" applyBorder="0" applyAlignment="0" applyProtection="0"/>
    <xf numFmtId="0" fontId="133" fillId="37" borderId="0" applyNumberFormat="0" applyFont="0" applyBorder="0" applyAlignment="0" applyProtection="0"/>
    <xf numFmtId="0" fontId="133" fillId="37" borderId="0" applyNumberFormat="0" applyFont="0" applyBorder="0" applyAlignment="0" applyProtection="0"/>
    <xf numFmtId="0" fontId="133" fillId="38" borderId="0" applyNumberFormat="0" applyFont="0" applyBorder="0" applyAlignment="0" applyProtection="0"/>
    <xf numFmtId="0" fontId="133" fillId="37" borderId="0" applyNumberFormat="0" applyFont="0" applyBorder="0" applyAlignment="0" applyProtection="0"/>
    <xf numFmtId="0" fontId="133" fillId="37" borderId="0" applyNumberFormat="0" applyBorder="0" applyAlignment="0" applyProtection="0"/>
    <xf numFmtId="0" fontId="134" fillId="0" borderId="0" applyNumberFormat="0" applyFill="0" applyBorder="0" applyAlignment="0" applyProtection="0"/>
    <xf numFmtId="0" fontId="135" fillId="0" borderId="0" applyNumberFormat="0" applyBorder="0" applyProtection="0"/>
    <xf numFmtId="0" fontId="136" fillId="0" borderId="0" applyNumberFormat="0" applyBorder="0" applyProtection="0"/>
    <xf numFmtId="0" fontId="1" fillId="0" borderId="0"/>
  </cellStyleXfs>
  <cellXfs count="359">
    <xf numFmtId="0" fontId="0" fillId="0" borderId="0" xfId="0"/>
    <xf numFmtId="0" fontId="7" fillId="0" borderId="0" xfId="0" applyFont="1"/>
    <xf numFmtId="0" fontId="7" fillId="0" borderId="0" xfId="0" applyFont="1" applyAlignment="1">
      <alignment horizontal="right"/>
    </xf>
    <xf numFmtId="0" fontId="12" fillId="0" borderId="0" xfId="0" applyFont="1"/>
    <xf numFmtId="164" fontId="7" fillId="0" borderId="0" xfId="0" applyNumberFormat="1" applyFont="1"/>
    <xf numFmtId="0" fontId="13" fillId="0" borderId="0" xfId="0" applyFont="1"/>
    <xf numFmtId="164" fontId="9" fillId="2" borderId="0" xfId="0" applyNumberFormat="1" applyFont="1" applyFill="1"/>
    <xf numFmtId="164" fontId="7" fillId="2" borderId="0" xfId="0" applyNumberFormat="1" applyFont="1" applyFill="1"/>
    <xf numFmtId="164" fontId="9" fillId="0" borderId="0" xfId="0" applyNumberFormat="1" applyFont="1"/>
    <xf numFmtId="0" fontId="9" fillId="0" borderId="0" xfId="0" applyFont="1"/>
    <xf numFmtId="0" fontId="16" fillId="0" borderId="0" xfId="0" applyFont="1"/>
    <xf numFmtId="3" fontId="9" fillId="2" borderId="0" xfId="0" applyNumberFormat="1" applyFont="1" applyFill="1"/>
    <xf numFmtId="0" fontId="8" fillId="4" borderId="0" xfId="0" applyFont="1" applyFill="1"/>
    <xf numFmtId="0" fontId="9" fillId="2" borderId="0" xfId="0" applyFont="1" applyFill="1"/>
    <xf numFmtId="164" fontId="11" fillId="0" borderId="0" xfId="0" applyNumberFormat="1" applyFont="1"/>
    <xf numFmtId="165" fontId="11" fillId="0" borderId="0" xfId="0" applyNumberFormat="1" applyFont="1"/>
    <xf numFmtId="0" fontId="11" fillId="0" borderId="0" xfId="0" applyFont="1"/>
    <xf numFmtId="164" fontId="20" fillId="0" borderId="0" xfId="0" applyNumberFormat="1" applyFont="1"/>
    <xf numFmtId="164" fontId="21" fillId="0" borderId="0" xfId="0" applyNumberFormat="1" applyFont="1"/>
    <xf numFmtId="0" fontId="19" fillId="0" borderId="0" xfId="0" applyFont="1"/>
    <xf numFmtId="3" fontId="7" fillId="2" borderId="0" xfId="0" applyNumberFormat="1" applyFont="1" applyFill="1"/>
    <xf numFmtId="0" fontId="13" fillId="7" borderId="0" xfId="0" applyFont="1" applyFill="1"/>
    <xf numFmtId="0" fontId="22" fillId="5" borderId="0" xfId="0" applyFont="1" applyFill="1" applyAlignment="1">
      <alignment horizontal="left"/>
    </xf>
    <xf numFmtId="167" fontId="7" fillId="0" borderId="0" xfId="0" applyNumberFormat="1" applyFont="1"/>
    <xf numFmtId="0" fontId="15" fillId="0" borderId="0" xfId="0" applyFont="1"/>
    <xf numFmtId="0" fontId="23" fillId="0" borderId="0" xfId="0" applyFont="1"/>
    <xf numFmtId="168" fontId="7" fillId="0" borderId="0" xfId="0" applyNumberFormat="1" applyFont="1"/>
    <xf numFmtId="0" fontId="7" fillId="2" borderId="0" xfId="0" applyFont="1" applyFill="1"/>
    <xf numFmtId="0" fontId="15" fillId="2" borderId="0" xfId="0" applyFont="1" applyFill="1"/>
    <xf numFmtId="0" fontId="13" fillId="2" borderId="0" xfId="0" applyFont="1" applyFill="1"/>
    <xf numFmtId="2" fontId="7" fillId="0" borderId="0" xfId="0" applyNumberFormat="1" applyFont="1"/>
    <xf numFmtId="2" fontId="9" fillId="0" borderId="0" xfId="0" applyNumberFormat="1" applyFont="1"/>
    <xf numFmtId="166" fontId="11" fillId="0" borderId="0" xfId="0" applyNumberFormat="1" applyFont="1"/>
    <xf numFmtId="0" fontId="25" fillId="0" borderId="0" xfId="0" applyFont="1"/>
    <xf numFmtId="0" fontId="14" fillId="0" borderId="0" xfId="0" applyFont="1" applyAlignment="1">
      <alignment horizontal="left"/>
    </xf>
    <xf numFmtId="166" fontId="29" fillId="0" borderId="0" xfId="0" applyNumberFormat="1" applyFont="1"/>
    <xf numFmtId="166" fontId="30" fillId="0" borderId="0" xfId="0" applyNumberFormat="1" applyFont="1"/>
    <xf numFmtId="0" fontId="23" fillId="6" borderId="0" xfId="0" applyFont="1" applyFill="1"/>
    <xf numFmtId="165" fontId="9" fillId="0" borderId="0" xfId="0" applyNumberFormat="1" applyFont="1"/>
    <xf numFmtId="164" fontId="7" fillId="0" borderId="0" xfId="0" applyNumberFormat="1" applyFont="1" applyAlignment="1">
      <alignment horizontal="right"/>
    </xf>
    <xf numFmtId="164" fontId="7" fillId="3" borderId="0" xfId="0" applyNumberFormat="1" applyFont="1" applyFill="1" applyAlignment="1">
      <alignment horizontal="right"/>
    </xf>
    <xf numFmtId="164" fontId="7" fillId="3" borderId="0" xfId="0" applyNumberFormat="1" applyFont="1" applyFill="1"/>
    <xf numFmtId="164" fontId="15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0" fontId="18" fillId="0" borderId="0" xfId="0" applyFont="1"/>
    <xf numFmtId="0" fontId="31" fillId="0" borderId="0" xfId="0" applyFont="1"/>
    <xf numFmtId="164" fontId="7" fillId="2" borderId="0" xfId="0" applyNumberFormat="1" applyFont="1" applyFill="1" applyAlignment="1">
      <alignment horizontal="right"/>
    </xf>
    <xf numFmtId="165" fontId="9" fillId="2" borderId="0" xfId="0" applyNumberFormat="1" applyFont="1" applyFill="1" applyAlignment="1">
      <alignment horizontal="right"/>
    </xf>
    <xf numFmtId="165" fontId="11" fillId="0" borderId="0" xfId="0" applyNumberFormat="1" applyFont="1" applyAlignment="1">
      <alignment horizontal="right"/>
    </xf>
    <xf numFmtId="164" fontId="24" fillId="0" borderId="0" xfId="0" applyNumberFormat="1" applyFont="1" applyAlignment="1">
      <alignment horizontal="right"/>
    </xf>
    <xf numFmtId="0" fontId="32" fillId="0" borderId="0" xfId="0" applyFont="1"/>
    <xf numFmtId="164" fontId="20" fillId="0" borderId="0" xfId="0" applyNumberFormat="1" applyFont="1" applyAlignment="1">
      <alignment horizontal="right"/>
    </xf>
    <xf numFmtId="164" fontId="9" fillId="2" borderId="0" xfId="0" applyNumberFormat="1" applyFont="1" applyFill="1" applyAlignment="1">
      <alignment horizontal="right"/>
    </xf>
    <xf numFmtId="0" fontId="33" fillId="0" borderId="0" xfId="0" applyFont="1"/>
    <xf numFmtId="164" fontId="21" fillId="0" borderId="0" xfId="0" applyNumberFormat="1" applyFont="1" applyAlignment="1">
      <alignment horizontal="right"/>
    </xf>
    <xf numFmtId="0" fontId="3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0" fontId="17" fillId="0" borderId="0" xfId="2"/>
    <xf numFmtId="4" fontId="9" fillId="0" borderId="0" xfId="0" applyNumberFormat="1" applyFont="1" applyAlignment="1">
      <alignment horizontal="right"/>
    </xf>
    <xf numFmtId="168" fontId="9" fillId="0" borderId="0" xfId="0" applyNumberFormat="1" applyFont="1" applyAlignment="1">
      <alignment horizontal="right"/>
    </xf>
    <xf numFmtId="4" fontId="14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2" borderId="0" xfId="0" applyNumberFormat="1" applyFont="1" applyFill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3" fillId="8" borderId="0" xfId="0" applyFont="1" applyFill="1"/>
    <xf numFmtId="4" fontId="7" fillId="3" borderId="0" xfId="0" applyNumberFormat="1" applyFont="1" applyFill="1"/>
    <xf numFmtId="164" fontId="15" fillId="0" borderId="0" xfId="0" applyNumberFormat="1" applyFont="1"/>
    <xf numFmtId="164" fontId="14" fillId="0" borderId="0" xfId="0" applyNumberFormat="1" applyFont="1"/>
    <xf numFmtId="0" fontId="36" fillId="0" borderId="0" xfId="0" applyFont="1"/>
    <xf numFmtId="168" fontId="11" fillId="0" borderId="0" xfId="0" applyNumberFormat="1" applyFont="1"/>
    <xf numFmtId="165" fontId="9" fillId="2" borderId="0" xfId="0" applyNumberFormat="1" applyFont="1" applyFill="1"/>
    <xf numFmtId="164" fontId="24" fillId="0" borderId="0" xfId="0" applyNumberFormat="1" applyFont="1"/>
    <xf numFmtId="0" fontId="7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168" fontId="9" fillId="0" borderId="0" xfId="0" applyNumberFormat="1" applyFont="1"/>
    <xf numFmtId="0" fontId="13" fillId="0" borderId="0" xfId="0" applyFont="1" applyAlignment="1">
      <alignment shrinkToFit="1"/>
    </xf>
    <xf numFmtId="2" fontId="37" fillId="0" borderId="0" xfId="3" applyNumberFormat="1" applyFont="1"/>
    <xf numFmtId="168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28" fillId="0" borderId="0" xfId="0" applyFont="1"/>
    <xf numFmtId="164" fontId="7" fillId="6" borderId="0" xfId="0" applyNumberFormat="1" applyFont="1" applyFill="1"/>
    <xf numFmtId="0" fontId="7" fillId="8" borderId="0" xfId="0" applyFont="1" applyFill="1"/>
    <xf numFmtId="0" fontId="15" fillId="8" borderId="0" xfId="0" applyFont="1" applyFill="1"/>
    <xf numFmtId="0" fontId="38" fillId="6" borderId="0" xfId="2" applyFont="1" applyFill="1"/>
    <xf numFmtId="2" fontId="26" fillId="0" borderId="0" xfId="0" applyNumberFormat="1" applyFont="1"/>
    <xf numFmtId="0" fontId="22" fillId="0" borderId="0" xfId="0" applyFont="1" applyAlignment="1">
      <alignment horizontal="left"/>
    </xf>
    <xf numFmtId="0" fontId="35" fillId="0" borderId="0" xfId="0" applyFont="1"/>
    <xf numFmtId="0" fontId="7" fillId="0" borderId="0" xfId="0" quotePrefix="1" applyFont="1"/>
    <xf numFmtId="167" fontId="15" fillId="0" borderId="0" xfId="0" applyNumberFormat="1" applyFont="1"/>
    <xf numFmtId="2" fontId="15" fillId="0" borderId="0" xfId="0" applyNumberFormat="1" applyFont="1"/>
    <xf numFmtId="2" fontId="17" fillId="0" borderId="0" xfId="3" applyNumberFormat="1"/>
    <xf numFmtId="2" fontId="17" fillId="0" borderId="0" xfId="0" applyNumberFormat="1" applyFont="1"/>
    <xf numFmtId="0" fontId="17" fillId="0" borderId="0" xfId="3"/>
    <xf numFmtId="0" fontId="39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1" fontId="26" fillId="0" borderId="0" xfId="0" applyNumberFormat="1" applyFont="1"/>
    <xf numFmtId="168" fontId="14" fillId="0" borderId="0" xfId="0" applyNumberFormat="1" applyFont="1"/>
    <xf numFmtId="168" fontId="15" fillId="0" borderId="0" xfId="0" applyNumberFormat="1" applyFont="1"/>
    <xf numFmtId="168" fontId="24" fillId="0" borderId="0" xfId="0" applyNumberFormat="1" applyFont="1"/>
    <xf numFmtId="0" fontId="40" fillId="0" borderId="0" xfId="0" applyFont="1"/>
    <xf numFmtId="0" fontId="23" fillId="8" borderId="0" xfId="0" applyFont="1" applyFill="1"/>
    <xf numFmtId="0" fontId="0" fillId="8" borderId="0" xfId="0" applyFill="1"/>
    <xf numFmtId="167" fontId="31" fillId="0" borderId="0" xfId="0" applyNumberFormat="1" applyFont="1"/>
    <xf numFmtId="0" fontId="31" fillId="0" borderId="0" xfId="3" applyFont="1"/>
    <xf numFmtId="2" fontId="31" fillId="0" borderId="0" xfId="0" applyNumberFormat="1" applyFont="1"/>
    <xf numFmtId="2" fontId="31" fillId="0" borderId="0" xfId="3" applyNumberFormat="1" applyFont="1"/>
    <xf numFmtId="0" fontId="31" fillId="9" borderId="0" xfId="0" applyFont="1" applyFill="1"/>
    <xf numFmtId="166" fontId="31" fillId="0" borderId="0" xfId="0" applyNumberFormat="1" applyFont="1"/>
    <xf numFmtId="0" fontId="18" fillId="2" borderId="0" xfId="0" applyFont="1" applyFill="1"/>
    <xf numFmtId="0" fontId="31" fillId="2" borderId="0" xfId="0" applyFont="1" applyFill="1"/>
    <xf numFmtId="0" fontId="41" fillId="0" borderId="0" xfId="0" applyFont="1"/>
    <xf numFmtId="0" fontId="31" fillId="7" borderId="0" xfId="0" applyFont="1" applyFill="1"/>
    <xf numFmtId="0" fontId="42" fillId="0" borderId="0" xfId="0" applyFont="1" applyAlignment="1">
      <alignment horizontal="left"/>
    </xf>
    <xf numFmtId="3" fontId="31" fillId="2" borderId="0" xfId="0" applyNumberFormat="1" applyFont="1" applyFill="1"/>
    <xf numFmtId="164" fontId="18" fillId="0" borderId="0" xfId="0" applyNumberFormat="1" applyFont="1"/>
    <xf numFmtId="164" fontId="31" fillId="0" borderId="0" xfId="0" applyNumberFormat="1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1" fillId="9" borderId="0" xfId="0" applyFont="1" applyFill="1"/>
    <xf numFmtId="0" fontId="46" fillId="0" borderId="0" xfId="0" applyFont="1" applyAlignment="1">
      <alignment horizontal="center"/>
    </xf>
    <xf numFmtId="0" fontId="47" fillId="0" borderId="0" xfId="0" applyFont="1"/>
    <xf numFmtId="3" fontId="31" fillId="0" borderId="0" xfId="0" applyNumberFormat="1" applyFont="1"/>
    <xf numFmtId="1" fontId="31" fillId="0" borderId="0" xfId="0" applyNumberFormat="1" applyFont="1"/>
    <xf numFmtId="0" fontId="48" fillId="0" borderId="0" xfId="0" applyFont="1"/>
    <xf numFmtId="0" fontId="7" fillId="0" borderId="0" xfId="0" applyFont="1" applyAlignment="1">
      <alignment shrinkToFit="1"/>
    </xf>
    <xf numFmtId="0" fontId="29" fillId="0" borderId="0" xfId="0" applyFont="1"/>
    <xf numFmtId="3" fontId="9" fillId="0" borderId="0" xfId="0" applyNumberFormat="1" applyFont="1"/>
    <xf numFmtId="164" fontId="7" fillId="33" borderId="0" xfId="0" applyNumberFormat="1" applyFont="1" applyFill="1"/>
    <xf numFmtId="0" fontId="69" fillId="33" borderId="0" xfId="0" applyFont="1" applyFill="1"/>
    <xf numFmtId="0" fontId="29" fillId="33" borderId="0" xfId="0" applyFont="1" applyFill="1"/>
    <xf numFmtId="0" fontId="30" fillId="33" borderId="0" xfId="0" applyFont="1" applyFill="1"/>
    <xf numFmtId="0" fontId="31" fillId="0" borderId="0" xfId="0" applyFont="1" applyAlignment="1">
      <alignment horizontal="center" vertical="center"/>
    </xf>
    <xf numFmtId="0" fontId="105" fillId="33" borderId="0" xfId="0" applyFont="1" applyFill="1"/>
    <xf numFmtId="0" fontId="107" fillId="33" borderId="0" xfId="0" applyFont="1" applyFill="1"/>
    <xf numFmtId="0" fontId="48" fillId="33" borderId="0" xfId="0" applyFont="1" applyFill="1"/>
    <xf numFmtId="168" fontId="31" fillId="0" borderId="0" xfId="0" applyNumberFormat="1" applyFont="1"/>
    <xf numFmtId="0" fontId="108" fillId="33" borderId="0" xfId="0" applyFont="1" applyFill="1"/>
    <xf numFmtId="0" fontId="109" fillId="33" borderId="0" xfId="0" applyFont="1" applyFill="1"/>
    <xf numFmtId="0" fontId="103" fillId="32" borderId="0" xfId="0" applyFont="1" applyFill="1" applyAlignment="1">
      <alignment horizontal="left" vertical="center"/>
    </xf>
    <xf numFmtId="0" fontId="7" fillId="32" borderId="0" xfId="0" applyFont="1" applyFill="1"/>
    <xf numFmtId="0" fontId="9" fillId="34" borderId="0" xfId="0" applyFont="1" applyFill="1"/>
    <xf numFmtId="0" fontId="7" fillId="34" borderId="0" xfId="0" applyFont="1" applyFill="1"/>
    <xf numFmtId="0" fontId="11" fillId="34" borderId="0" xfId="0" applyFont="1" applyFill="1"/>
    <xf numFmtId="0" fontId="7" fillId="34" borderId="0" xfId="0" applyFont="1" applyFill="1" applyAlignment="1">
      <alignment horizontal="center"/>
    </xf>
    <xf numFmtId="164" fontId="9" fillId="34" borderId="0" xfId="0" applyNumberFormat="1" applyFont="1" applyFill="1"/>
    <xf numFmtId="164" fontId="7" fillId="34" borderId="0" xfId="0" applyNumberFormat="1" applyFont="1" applyFill="1"/>
    <xf numFmtId="168" fontId="11" fillId="34" borderId="0" xfId="0" applyNumberFormat="1" applyFont="1" applyFill="1"/>
    <xf numFmtId="0" fontId="7" fillId="32" borderId="11" xfId="0" applyFont="1" applyFill="1" applyBorder="1"/>
    <xf numFmtId="0" fontId="9" fillId="0" borderId="11" xfId="0" applyFont="1" applyBorder="1"/>
    <xf numFmtId="3" fontId="9" fillId="0" borderId="11" xfId="0" applyNumberFormat="1" applyFont="1" applyBorder="1" applyAlignment="1">
      <alignment horizontal="center"/>
    </xf>
    <xf numFmtId="3" fontId="9" fillId="0" borderId="11" xfId="0" applyNumberFormat="1" applyFont="1" applyBorder="1"/>
    <xf numFmtId="0" fontId="7" fillId="0" borderId="11" xfId="0" applyFont="1" applyBorder="1"/>
    <xf numFmtId="164" fontId="9" fillId="0" borderId="11" xfId="0" applyNumberFormat="1" applyFont="1" applyBorder="1"/>
    <xf numFmtId="164" fontId="11" fillId="0" borderId="11" xfId="0" applyNumberFormat="1" applyFont="1" applyBorder="1"/>
    <xf numFmtId="0" fontId="7" fillId="34" borderId="11" xfId="0" applyFont="1" applyFill="1" applyBorder="1"/>
    <xf numFmtId="0" fontId="7" fillId="34" borderId="11" xfId="0" applyFont="1" applyFill="1" applyBorder="1" applyAlignment="1">
      <alignment horizontal="center"/>
    </xf>
    <xf numFmtId="0" fontId="19" fillId="34" borderId="11" xfId="0" applyFont="1" applyFill="1" applyBorder="1"/>
    <xf numFmtId="0" fontId="9" fillId="34" borderId="11" xfId="0" applyFont="1" applyFill="1" applyBorder="1"/>
    <xf numFmtId="164" fontId="9" fillId="34" borderId="11" xfId="0" applyNumberFormat="1" applyFont="1" applyFill="1" applyBorder="1"/>
    <xf numFmtId="164" fontId="11" fillId="34" borderId="11" xfId="0" applyNumberFormat="1" applyFont="1" applyFill="1" applyBorder="1"/>
    <xf numFmtId="164" fontId="7" fillId="34" borderId="11" xfId="0" applyNumberFormat="1" applyFont="1" applyFill="1" applyBorder="1"/>
    <xf numFmtId="164" fontId="19" fillId="34" borderId="11" xfId="0" applyNumberFormat="1" applyFont="1" applyFill="1" applyBorder="1"/>
    <xf numFmtId="0" fontId="11" fillId="34" borderId="11" xfId="0" applyFont="1" applyFill="1" applyBorder="1"/>
    <xf numFmtId="165" fontId="11" fillId="34" borderId="11" xfId="0" applyNumberFormat="1" applyFont="1" applyFill="1" applyBorder="1"/>
    <xf numFmtId="0" fontId="11" fillId="0" borderId="11" xfId="0" applyFont="1" applyBorder="1"/>
    <xf numFmtId="165" fontId="9" fillId="0" borderId="11" xfId="0" applyNumberFormat="1" applyFont="1" applyBorder="1"/>
    <xf numFmtId="164" fontId="7" fillId="0" borderId="11" xfId="0" applyNumberFormat="1" applyFont="1" applyBorder="1"/>
    <xf numFmtId="3" fontId="9" fillId="0" borderId="11" xfId="0" applyNumberFormat="1" applyFont="1" applyBorder="1" applyAlignment="1">
      <alignment horizontal="right"/>
    </xf>
    <xf numFmtId="0" fontId="18" fillId="32" borderId="0" xfId="0" applyFont="1" applyFill="1" applyAlignment="1">
      <alignment horizontal="center" vertical="center"/>
    </xf>
    <xf numFmtId="168" fontId="9" fillId="0" borderId="11" xfId="0" applyNumberFormat="1" applyFont="1" applyBorder="1" applyAlignment="1">
      <alignment horizontal="right"/>
    </xf>
    <xf numFmtId="168" fontId="9" fillId="0" borderId="11" xfId="0" applyNumberFormat="1" applyFont="1" applyBorder="1" applyAlignment="1">
      <alignment horizontal="center"/>
    </xf>
    <xf numFmtId="168" fontId="9" fillId="0" borderId="11" xfId="0" applyNumberFormat="1" applyFont="1" applyBorder="1"/>
    <xf numFmtId="168" fontId="11" fillId="34" borderId="11" xfId="0" applyNumberFormat="1" applyFont="1" applyFill="1" applyBorder="1"/>
    <xf numFmtId="168" fontId="11" fillId="0" borderId="11" xfId="0" applyNumberFormat="1" applyFont="1" applyBorder="1"/>
    <xf numFmtId="0" fontId="18" fillId="32" borderId="1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32" borderId="12" xfId="0" applyFont="1" applyFill="1" applyBorder="1" applyAlignment="1">
      <alignment horizontal="center"/>
    </xf>
    <xf numFmtId="0" fontId="18" fillId="32" borderId="0" xfId="0" applyFont="1" applyFill="1" applyAlignment="1">
      <alignment horizontal="center"/>
    </xf>
    <xf numFmtId="0" fontId="44" fillId="8" borderId="0" xfId="0" applyFont="1" applyFill="1"/>
    <xf numFmtId="0" fontId="104" fillId="35" borderId="0" xfId="0" applyFont="1" applyFill="1"/>
    <xf numFmtId="0" fontId="31" fillId="0" borderId="0" xfId="0" applyFont="1" applyAlignment="1">
      <alignment horizontal="center"/>
    </xf>
    <xf numFmtId="0" fontId="18" fillId="0" borderId="0" xfId="0" applyFont="1" applyAlignment="1">
      <alignment horizontal="left" indent="5"/>
    </xf>
    <xf numFmtId="168" fontId="7" fillId="0" borderId="0" xfId="0" applyNumberFormat="1" applyFont="1" applyAlignment="1">
      <alignment shrinkToFit="1"/>
    </xf>
    <xf numFmtId="0" fontId="47" fillId="9" borderId="0" xfId="0" applyFont="1" applyFill="1"/>
    <xf numFmtId="2" fontId="106" fillId="0" borderId="0" xfId="0" applyNumberFormat="1" applyFont="1"/>
    <xf numFmtId="0" fontId="110" fillId="0" borderId="0" xfId="0" applyFont="1"/>
    <xf numFmtId="1" fontId="31" fillId="7" borderId="0" xfId="0" applyNumberFormat="1" applyFont="1" applyFill="1" applyAlignment="1">
      <alignment shrinkToFit="1"/>
    </xf>
    <xf numFmtId="0" fontId="41" fillId="2" borderId="0" xfId="0" applyFont="1" applyFill="1"/>
    <xf numFmtId="167" fontId="41" fillId="0" borderId="0" xfId="0" applyNumberFormat="1" applyFont="1"/>
    <xf numFmtId="2" fontId="41" fillId="0" borderId="0" xfId="0" applyNumberFormat="1" applyFont="1"/>
    <xf numFmtId="1" fontId="41" fillId="0" borderId="0" xfId="0" applyNumberFormat="1" applyFont="1"/>
    <xf numFmtId="0" fontId="111" fillId="0" borderId="0" xfId="0" applyFont="1"/>
    <xf numFmtId="168" fontId="41" fillId="0" borderId="0" xfId="0" applyNumberFormat="1" applyFont="1"/>
    <xf numFmtId="2" fontId="41" fillId="0" borderId="0" xfId="3" applyNumberFormat="1" applyFont="1"/>
    <xf numFmtId="0" fontId="18" fillId="32" borderId="13" xfId="0" applyFont="1" applyFill="1" applyBorder="1" applyAlignment="1">
      <alignment horizontal="center"/>
    </xf>
    <xf numFmtId="168" fontId="7" fillId="0" borderId="0" xfId="0" applyNumberFormat="1" applyFont="1" applyAlignment="1">
      <alignment wrapText="1" shrinkToFit="1"/>
    </xf>
    <xf numFmtId="0" fontId="7" fillId="0" borderId="0" xfId="0" applyFont="1" applyAlignment="1">
      <alignment wrapText="1" shrinkToFit="1"/>
    </xf>
    <xf numFmtId="0" fontId="7" fillId="33" borderId="0" xfId="0" applyFont="1" applyFill="1"/>
    <xf numFmtId="168" fontId="7" fillId="33" borderId="0" xfId="0" applyNumberFormat="1" applyFont="1" applyFill="1"/>
    <xf numFmtId="0" fontId="30" fillId="0" borderId="0" xfId="0" applyFont="1"/>
    <xf numFmtId="0" fontId="105" fillId="0" borderId="0" xfId="0" applyFont="1"/>
    <xf numFmtId="0" fontId="47" fillId="0" borderId="0" xfId="0" applyFont="1" applyAlignment="1">
      <alignment wrapText="1"/>
    </xf>
    <xf numFmtId="0" fontId="113" fillId="33" borderId="0" xfId="0" applyFont="1" applyFill="1"/>
    <xf numFmtId="0" fontId="18" fillId="36" borderId="11" xfId="0" applyFont="1" applyFill="1" applyBorder="1" applyAlignment="1">
      <alignment horizontal="center"/>
    </xf>
    <xf numFmtId="0" fontId="114" fillId="0" borderId="0" xfId="0" applyFont="1" applyAlignment="1">
      <alignment horizontal="left"/>
    </xf>
    <xf numFmtId="4" fontId="9" fillId="0" borderId="11" xfId="0" applyNumberFormat="1" applyFont="1" applyBorder="1"/>
    <xf numFmtId="4" fontId="7" fillId="0" borderId="0" xfId="0" applyNumberFormat="1" applyFont="1"/>
    <xf numFmtId="0" fontId="7" fillId="0" borderId="11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116" fillId="0" borderId="0" xfId="0" applyFont="1"/>
    <xf numFmtId="165" fontId="11" fillId="0" borderId="11" xfId="0" applyNumberFormat="1" applyFont="1" applyBorder="1"/>
    <xf numFmtId="3" fontId="9" fillId="34" borderId="11" xfId="0" applyNumberFormat="1" applyFont="1" applyFill="1" applyBorder="1"/>
    <xf numFmtId="168" fontId="9" fillId="32" borderId="0" xfId="0" applyNumberFormat="1" applyFont="1" applyFill="1" applyAlignment="1">
      <alignment horizontal="right"/>
    </xf>
    <xf numFmtId="0" fontId="117" fillId="33" borderId="0" xfId="0" applyFont="1" applyFill="1"/>
    <xf numFmtId="0" fontId="18" fillId="36" borderId="17" xfId="0" applyFont="1" applyFill="1" applyBorder="1" applyAlignment="1">
      <alignment horizontal="center"/>
    </xf>
    <xf numFmtId="0" fontId="18" fillId="32" borderId="18" xfId="0" applyFont="1" applyFill="1" applyBorder="1" applyAlignment="1">
      <alignment horizontal="center"/>
    </xf>
    <xf numFmtId="0" fontId="118" fillId="33" borderId="0" xfId="0" applyFont="1" applyFill="1"/>
    <xf numFmtId="167" fontId="68" fillId="0" borderId="0" xfId="0" applyNumberFormat="1" applyFont="1"/>
    <xf numFmtId="0" fontId="68" fillId="0" borderId="0" xfId="0" applyFont="1"/>
    <xf numFmtId="2" fontId="68" fillId="0" borderId="0" xfId="0" applyNumberFormat="1" applyFont="1"/>
    <xf numFmtId="0" fontId="31" fillId="0" borderId="0" xfId="0" quotePrefix="1" applyFont="1"/>
    <xf numFmtId="49" fontId="31" fillId="0" borderId="0" xfId="0" applyNumberFormat="1" applyFont="1"/>
    <xf numFmtId="49" fontId="68" fillId="0" borderId="0" xfId="0" applyNumberFormat="1" applyFont="1"/>
    <xf numFmtId="0" fontId="18" fillId="7" borderId="0" xfId="0" applyFont="1" applyFill="1"/>
    <xf numFmtId="0" fontId="31" fillId="8" borderId="0" xfId="0" applyFont="1" applyFill="1"/>
    <xf numFmtId="0" fontId="18" fillId="5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165" fontId="48" fillId="33" borderId="0" xfId="0" applyNumberFormat="1" applyFont="1" applyFill="1"/>
    <xf numFmtId="168" fontId="107" fillId="33" borderId="0" xfId="0" applyNumberFormat="1" applyFont="1" applyFill="1" applyAlignment="1">
      <alignment horizontal="center"/>
    </xf>
    <xf numFmtId="168" fontId="18" fillId="0" borderId="0" xfId="0" applyNumberFormat="1" applyFont="1" applyAlignment="1">
      <alignment horizontal="center"/>
    </xf>
    <xf numFmtId="0" fontId="68" fillId="2" borderId="0" xfId="0" applyFont="1" applyFill="1"/>
    <xf numFmtId="0" fontId="119" fillId="3" borderId="0" xfId="0" applyFont="1" applyFill="1"/>
    <xf numFmtId="0" fontId="120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4" fontId="120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left"/>
    </xf>
    <xf numFmtId="2" fontId="18" fillId="0" borderId="0" xfId="0" applyNumberFormat="1" applyFont="1" applyAlignment="1">
      <alignment horizontal="right"/>
    </xf>
    <xf numFmtId="0" fontId="121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168" fontId="31" fillId="2" borderId="0" xfId="0" applyNumberFormat="1" applyFont="1" applyFill="1"/>
    <xf numFmtId="1" fontId="31" fillId="2" borderId="0" xfId="0" applyNumberFormat="1" applyFont="1" applyFill="1"/>
    <xf numFmtId="0" fontId="122" fillId="0" borderId="0" xfId="0" applyFont="1"/>
    <xf numFmtId="0" fontId="122" fillId="0" borderId="0" xfId="0" applyFont="1" applyAlignment="1">
      <alignment horizontal="center"/>
    </xf>
    <xf numFmtId="168" fontId="122" fillId="2" borderId="0" xfId="0" applyNumberFormat="1" applyFont="1" applyFill="1"/>
    <xf numFmtId="1" fontId="122" fillId="2" borderId="0" xfId="0" applyNumberFormat="1" applyFont="1" applyFill="1"/>
    <xf numFmtId="168" fontId="18" fillId="0" borderId="0" xfId="0" applyNumberFormat="1" applyFont="1"/>
    <xf numFmtId="168" fontId="120" fillId="0" borderId="0" xfId="0" applyNumberFormat="1" applyFont="1"/>
    <xf numFmtId="0" fontId="18" fillId="8" borderId="0" xfId="0" applyFont="1" applyFill="1"/>
    <xf numFmtId="168" fontId="68" fillId="0" borderId="0" xfId="0" applyNumberFormat="1" applyFont="1"/>
    <xf numFmtId="168" fontId="41" fillId="0" borderId="0" xfId="0" applyNumberFormat="1" applyFont="1" applyAlignment="1">
      <alignment horizontal="right"/>
    </xf>
    <xf numFmtId="164" fontId="41" fillId="0" borderId="0" xfId="0" applyNumberFormat="1" applyFont="1" applyAlignment="1">
      <alignment horizontal="right"/>
    </xf>
    <xf numFmtId="168" fontId="123" fillId="0" borderId="0" xfId="0" applyNumberFormat="1" applyFont="1" applyAlignment="1">
      <alignment horizontal="right"/>
    </xf>
    <xf numFmtId="164" fontId="123" fillId="0" borderId="0" xfId="0" applyNumberFormat="1" applyFont="1" applyAlignment="1">
      <alignment horizontal="right"/>
    </xf>
    <xf numFmtId="0" fontId="111" fillId="8" borderId="0" xfId="0" applyFont="1" applyFill="1"/>
    <xf numFmtId="166" fontId="44" fillId="8" borderId="0" xfId="0" applyNumberFormat="1" applyFont="1" applyFill="1"/>
    <xf numFmtId="166" fontId="124" fillId="8" borderId="0" xfId="0" applyNumberFormat="1" applyFont="1" applyFill="1"/>
    <xf numFmtId="168" fontId="41" fillId="8" borderId="0" xfId="0" applyNumberFormat="1" applyFont="1" applyFill="1"/>
    <xf numFmtId="168" fontId="125" fillId="8" borderId="0" xfId="0" applyNumberFormat="1" applyFont="1" applyFill="1" applyAlignment="1">
      <alignment horizontal="right"/>
    </xf>
    <xf numFmtId="165" fontId="125" fillId="8" borderId="0" xfId="0" applyNumberFormat="1" applyFont="1" applyFill="1" applyAlignment="1">
      <alignment horizontal="right"/>
    </xf>
    <xf numFmtId="166" fontId="18" fillId="0" borderId="0" xfId="0" applyNumberFormat="1" applyFont="1"/>
    <xf numFmtId="168" fontId="36" fillId="0" borderId="0" xfId="0" applyNumberFormat="1" applyFont="1"/>
    <xf numFmtId="0" fontId="31" fillId="35" borderId="0" xfId="0" applyFont="1" applyFill="1"/>
    <xf numFmtId="168" fontId="31" fillId="35" borderId="0" xfId="0" applyNumberFormat="1" applyFont="1" applyFill="1"/>
    <xf numFmtId="164" fontId="31" fillId="35" borderId="0" xfId="0" applyNumberFormat="1" applyFont="1" applyFill="1" applyAlignment="1">
      <alignment horizontal="left"/>
    </xf>
    <xf numFmtId="1" fontId="31" fillId="35" borderId="0" xfId="0" applyNumberFormat="1" applyFont="1" applyFill="1"/>
    <xf numFmtId="164" fontId="31" fillId="0" borderId="0" xfId="0" applyNumberFormat="1" applyFont="1" applyAlignment="1">
      <alignment horizontal="right"/>
    </xf>
    <xf numFmtId="166" fontId="36" fillId="0" borderId="0" xfId="0" applyNumberFormat="1" applyFont="1"/>
    <xf numFmtId="166" fontId="124" fillId="0" borderId="0" xfId="0" applyNumberFormat="1" applyFont="1"/>
    <xf numFmtId="4" fontId="123" fillId="0" borderId="0" xfId="0" applyNumberFormat="1" applyFont="1"/>
    <xf numFmtId="0" fontId="36" fillId="8" borderId="0" xfId="0" applyFont="1" applyFill="1"/>
    <xf numFmtId="3" fontId="123" fillId="0" borderId="0" xfId="0" quotePrefix="1" applyNumberFormat="1" applyFont="1"/>
    <xf numFmtId="3" fontId="123" fillId="0" borderId="0" xfId="0" applyNumberFormat="1" applyFont="1"/>
    <xf numFmtId="164" fontId="18" fillId="0" borderId="0" xfId="0" applyNumberFormat="1" applyFont="1" applyAlignment="1">
      <alignment horizontal="right"/>
    </xf>
    <xf numFmtId="3" fontId="123" fillId="35" borderId="0" xfId="0" applyNumberFormat="1" applyFont="1" applyFill="1"/>
    <xf numFmtId="2" fontId="123" fillId="0" borderId="0" xfId="0" applyNumberFormat="1" applyFont="1"/>
    <xf numFmtId="2" fontId="123" fillId="35" borderId="0" xfId="0" applyNumberFormat="1" applyFont="1" applyFill="1"/>
    <xf numFmtId="164" fontId="126" fillId="0" borderId="0" xfId="0" applyNumberFormat="1" applyFont="1" applyAlignment="1">
      <alignment horizontal="right"/>
    </xf>
    <xf numFmtId="164" fontId="123" fillId="0" borderId="0" xfId="0" applyNumberFormat="1" applyFont="1" applyAlignment="1">
      <alignment horizontal="left"/>
    </xf>
    <xf numFmtId="166" fontId="31" fillId="2" borderId="0" xfId="0" applyNumberFormat="1" applyFont="1" applyFill="1"/>
    <xf numFmtId="164" fontId="104" fillId="35" borderId="0" xfId="0" applyNumberFormat="1" applyFont="1" applyFill="1" applyAlignment="1">
      <alignment horizontal="left"/>
    </xf>
    <xf numFmtId="164" fontId="104" fillId="35" borderId="0" xfId="0" applyNumberFormat="1" applyFont="1" applyFill="1" applyAlignment="1">
      <alignment horizontal="right"/>
    </xf>
    <xf numFmtId="164" fontId="126" fillId="0" borderId="0" xfId="0" applyNumberFormat="1" applyFont="1" applyAlignment="1">
      <alignment horizontal="left"/>
    </xf>
    <xf numFmtId="2" fontId="18" fillId="0" borderId="0" xfId="0" applyNumberFormat="1" applyFont="1"/>
    <xf numFmtId="168" fontId="127" fillId="35" borderId="0" xfId="0" applyNumberFormat="1" applyFont="1" applyFill="1"/>
    <xf numFmtId="164" fontId="127" fillId="0" borderId="0" xfId="0" applyNumberFormat="1" applyFont="1" applyAlignment="1">
      <alignment horizontal="right"/>
    </xf>
    <xf numFmtId="0" fontId="31" fillId="4" borderId="0" xfId="0" applyFont="1" applyFill="1"/>
    <xf numFmtId="3" fontId="120" fillId="0" borderId="0" xfId="0" applyNumberFormat="1" applyFont="1" applyAlignment="1">
      <alignment horizontal="center"/>
    </xf>
    <xf numFmtId="168" fontId="18" fillId="0" borderId="0" xfId="0" applyNumberFormat="1" applyFont="1" applyAlignment="1">
      <alignment horizontal="right"/>
    </xf>
    <xf numFmtId="168" fontId="31" fillId="0" borderId="0" xfId="0" applyNumberFormat="1" applyFont="1" applyAlignment="1">
      <alignment horizontal="right"/>
    </xf>
    <xf numFmtId="166" fontId="44" fillId="0" borderId="0" xfId="0" applyNumberFormat="1" applyFont="1"/>
    <xf numFmtId="1" fontId="122" fillId="35" borderId="0" xfId="0" applyNumberFormat="1" applyFont="1" applyFill="1"/>
    <xf numFmtId="168" fontId="122" fillId="35" borderId="0" xfId="0" applyNumberFormat="1" applyFont="1" applyFill="1" applyAlignment="1">
      <alignment horizontal="right"/>
    </xf>
    <xf numFmtId="4" fontId="31" fillId="0" borderId="0" xfId="0" applyNumberFormat="1" applyFont="1"/>
    <xf numFmtId="164" fontId="18" fillId="35" borderId="0" xfId="0" applyNumberFormat="1" applyFont="1" applyFill="1" applyAlignment="1">
      <alignment horizontal="right"/>
    </xf>
    <xf numFmtId="168" fontId="31" fillId="7" borderId="0" xfId="0" applyNumberFormat="1" applyFont="1" applyFill="1"/>
    <xf numFmtId="164" fontId="68" fillId="0" borderId="0" xfId="0" applyNumberFormat="1" applyFont="1"/>
    <xf numFmtId="164" fontId="41" fillId="0" borderId="0" xfId="0" applyNumberFormat="1" applyFont="1"/>
    <xf numFmtId="165" fontId="44" fillId="0" borderId="0" xfId="0" applyNumberFormat="1" applyFont="1"/>
    <xf numFmtId="165" fontId="124" fillId="0" borderId="0" xfId="0" applyNumberFormat="1" applyFont="1"/>
    <xf numFmtId="165" fontId="31" fillId="0" borderId="0" xfId="0" applyNumberFormat="1" applyFont="1"/>
    <xf numFmtId="164" fontId="120" fillId="0" borderId="0" xfId="0" applyNumberFormat="1" applyFont="1"/>
    <xf numFmtId="168" fontId="127" fillId="0" borderId="0" xfId="0" applyNumberFormat="1" applyFont="1"/>
    <xf numFmtId="2" fontId="31" fillId="2" borderId="0" xfId="0" applyNumberFormat="1" applyFont="1" applyFill="1"/>
    <xf numFmtId="166" fontId="36" fillId="8" borderId="0" xfId="0" applyNumberFormat="1" applyFont="1" applyFill="1"/>
    <xf numFmtId="168" fontId="43" fillId="0" borderId="0" xfId="0" applyNumberFormat="1" applyFont="1"/>
    <xf numFmtId="0" fontId="41" fillId="0" borderId="0" xfId="0" applyFont="1" applyAlignment="1">
      <alignment shrinkToFit="1"/>
    </xf>
    <xf numFmtId="4" fontId="18" fillId="0" borderId="0" xfId="0" applyNumberFormat="1" applyFont="1" applyAlignment="1">
      <alignment horizontal="center"/>
    </xf>
    <xf numFmtId="168" fontId="43" fillId="0" borderId="0" xfId="0" applyNumberFormat="1" applyFont="1" applyAlignment="1">
      <alignment horizontal="center"/>
    </xf>
    <xf numFmtId="167" fontId="41" fillId="9" borderId="0" xfId="0" applyNumberFormat="1" applyFont="1" applyFill="1"/>
    <xf numFmtId="0" fontId="128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5" fillId="9" borderId="0" xfId="0" applyFont="1" applyFill="1"/>
    <xf numFmtId="0" fontId="18" fillId="9" borderId="0" xfId="0" applyFont="1" applyFill="1"/>
    <xf numFmtId="1" fontId="106" fillId="9" borderId="0" xfId="0" applyNumberFormat="1" applyFont="1" applyFill="1"/>
    <xf numFmtId="2" fontId="120" fillId="0" borderId="0" xfId="0" applyNumberFormat="1" applyFont="1"/>
    <xf numFmtId="0" fontId="9" fillId="7" borderId="0" xfId="0" applyFont="1" applyFill="1"/>
    <xf numFmtId="166" fontId="7" fillId="0" borderId="0" xfId="0" applyNumberFormat="1" applyFont="1"/>
    <xf numFmtId="169" fontId="11" fillId="34" borderId="11" xfId="0" applyNumberFormat="1" applyFont="1" applyFill="1" applyBorder="1"/>
    <xf numFmtId="0" fontId="18" fillId="32" borderId="11" xfId="0" applyFont="1" applyFill="1" applyBorder="1" applyAlignment="1">
      <alignment horizontal="center" wrapText="1"/>
    </xf>
    <xf numFmtId="0" fontId="7" fillId="7" borderId="0" xfId="0" applyFont="1" applyFill="1"/>
    <xf numFmtId="167" fontId="14" fillId="7" borderId="0" xfId="0" applyNumberFormat="1" applyFont="1" applyFill="1"/>
    <xf numFmtId="4" fontId="15" fillId="0" borderId="0" xfId="0" applyNumberFormat="1" applyFont="1"/>
    <xf numFmtId="0" fontId="14" fillId="0" borderId="0" xfId="0" applyFont="1"/>
    <xf numFmtId="165" fontId="131" fillId="0" borderId="0" xfId="0" applyNumberFormat="1" applyFont="1"/>
    <xf numFmtId="164" fontId="131" fillId="0" borderId="0" xfId="0" applyNumberFormat="1" applyFont="1"/>
    <xf numFmtId="0" fontId="132" fillId="32" borderId="11" xfId="0" applyFont="1" applyFill="1" applyBorder="1"/>
    <xf numFmtId="0" fontId="114" fillId="7" borderId="0" xfId="0" applyFont="1" applyFill="1" applyAlignment="1">
      <alignment horizontal="left"/>
    </xf>
    <xf numFmtId="0" fontId="18" fillId="0" borderId="0" xfId="0" applyFont="1" applyAlignment="1">
      <alignment horizontal="left" wrapText="1"/>
    </xf>
    <xf numFmtId="0" fontId="106" fillId="0" borderId="0" xfId="0" applyFont="1" applyAlignment="1">
      <alignment horizontal="left" wrapText="1"/>
    </xf>
    <xf numFmtId="0" fontId="18" fillId="32" borderId="11" xfId="0" applyFont="1" applyFill="1" applyBorder="1" applyAlignment="1">
      <alignment horizontal="center" wrapText="1"/>
    </xf>
    <xf numFmtId="0" fontId="106" fillId="32" borderId="11" xfId="0" applyFont="1" applyFill="1" applyBorder="1" applyAlignment="1">
      <alignment horizontal="center" wrapText="1"/>
    </xf>
    <xf numFmtId="49" fontId="18" fillId="0" borderId="0" xfId="0" applyNumberFormat="1" applyFont="1" applyAlignment="1">
      <alignment wrapText="1" shrinkToFit="1"/>
    </xf>
    <xf numFmtId="49" fontId="115" fillId="0" borderId="0" xfId="0" applyNumberFormat="1" applyFont="1" applyAlignment="1">
      <alignment wrapText="1" shrinkToFit="1"/>
    </xf>
    <xf numFmtId="164" fontId="107" fillId="33" borderId="0" xfId="0" applyNumberFormat="1" applyFont="1" applyFill="1"/>
    <xf numFmtId="0" fontId="112" fillId="33" borderId="0" xfId="0" applyFont="1" applyFill="1"/>
    <xf numFmtId="164" fontId="18" fillId="0" borderId="0" xfId="0" applyNumberFormat="1" applyFont="1" applyAlignment="1">
      <alignment wrapText="1" shrinkToFit="1"/>
    </xf>
    <xf numFmtId="0" fontId="115" fillId="0" borderId="0" xfId="0" applyFont="1" applyAlignment="1">
      <alignment wrapText="1" shrinkToFit="1"/>
    </xf>
    <xf numFmtId="164" fontId="31" fillId="0" borderId="0" xfId="0" applyNumberFormat="1" applyFont="1" applyAlignment="1">
      <alignment wrapText="1" shrinkToFit="1"/>
    </xf>
    <xf numFmtId="0" fontId="106" fillId="0" borderId="0" xfId="0" applyFont="1" applyAlignment="1">
      <alignment wrapText="1" shrinkToFit="1"/>
    </xf>
    <xf numFmtId="164" fontId="107" fillId="33" borderId="0" xfId="0" applyNumberFormat="1" applyFont="1" applyFill="1" applyAlignment="1">
      <alignment wrapText="1" shrinkToFit="1"/>
    </xf>
    <xf numFmtId="0" fontId="112" fillId="33" borderId="0" xfId="0" applyFont="1" applyFill="1" applyAlignment="1">
      <alignment wrapText="1" shrinkToFit="1"/>
    </xf>
    <xf numFmtId="164" fontId="7" fillId="0" borderId="0" xfId="0" applyNumberFormat="1" applyFont="1"/>
    <xf numFmtId="0" fontId="0" fillId="0" borderId="0" xfId="0"/>
    <xf numFmtId="49" fontId="31" fillId="0" borderId="0" xfId="0" applyNumberFormat="1" applyFont="1" applyAlignment="1">
      <alignment wrapText="1" shrinkToFit="1"/>
    </xf>
    <xf numFmtId="49" fontId="106" fillId="0" borderId="0" xfId="0" applyNumberFormat="1" applyFont="1" applyAlignment="1">
      <alignment wrapText="1" shrinkToFit="1"/>
    </xf>
    <xf numFmtId="0" fontId="129" fillId="8" borderId="0" xfId="0" applyFont="1" applyFill="1" applyAlignment="1">
      <alignment wrapText="1"/>
    </xf>
    <xf numFmtId="0" fontId="130" fillId="0" borderId="0" xfId="0" applyFont="1" applyAlignment="1">
      <alignment wrapText="1"/>
    </xf>
  </cellXfs>
  <cellStyles count="324">
    <cellStyle name="20 % – Poudarek1 2" xfId="7" xr:uid="{00000000-0005-0000-0000-000000000000}"/>
    <cellStyle name="20 % – Poudarek1 2 2" xfId="97" xr:uid="{00000000-0005-0000-0000-000001000000}"/>
    <cellStyle name="20 % – Poudarek1 2 3" xfId="144" xr:uid="{00000000-0005-0000-0000-000002000000}"/>
    <cellStyle name="20 % – Poudarek1 3" xfId="55" xr:uid="{00000000-0005-0000-0000-000003000000}"/>
    <cellStyle name="20 % – Poudarek2 2" xfId="8" xr:uid="{00000000-0005-0000-0000-000004000000}"/>
    <cellStyle name="20 % – Poudarek2 2 2" xfId="98" xr:uid="{00000000-0005-0000-0000-000005000000}"/>
    <cellStyle name="20 % – Poudarek2 2 3" xfId="145" xr:uid="{00000000-0005-0000-0000-000006000000}"/>
    <cellStyle name="20 % – Poudarek2 3" xfId="56" xr:uid="{00000000-0005-0000-0000-000007000000}"/>
    <cellStyle name="20 % – Poudarek3 2" xfId="9" xr:uid="{00000000-0005-0000-0000-000008000000}"/>
    <cellStyle name="20 % – Poudarek3 2 2" xfId="99" xr:uid="{00000000-0005-0000-0000-000009000000}"/>
    <cellStyle name="20 % – Poudarek3 2 3" xfId="146" xr:uid="{00000000-0005-0000-0000-00000A000000}"/>
    <cellStyle name="20 % – Poudarek3 3" xfId="57" xr:uid="{00000000-0005-0000-0000-00000B000000}"/>
    <cellStyle name="20 % – Poudarek4 2" xfId="10" xr:uid="{00000000-0005-0000-0000-00000C000000}"/>
    <cellStyle name="20 % – Poudarek4 2 2" xfId="100" xr:uid="{00000000-0005-0000-0000-00000D000000}"/>
    <cellStyle name="20 % – Poudarek4 2 3" xfId="147" xr:uid="{00000000-0005-0000-0000-00000E000000}"/>
    <cellStyle name="20 % – Poudarek4 3" xfId="58" xr:uid="{00000000-0005-0000-0000-00000F000000}"/>
    <cellStyle name="20 % – Poudarek5 2" xfId="11" xr:uid="{00000000-0005-0000-0000-000010000000}"/>
    <cellStyle name="20 % – Poudarek5 2 2" xfId="101" xr:uid="{00000000-0005-0000-0000-000011000000}"/>
    <cellStyle name="20 % – Poudarek5 2 3" xfId="148" xr:uid="{00000000-0005-0000-0000-000012000000}"/>
    <cellStyle name="20 % – Poudarek5 3" xfId="59" xr:uid="{00000000-0005-0000-0000-000013000000}"/>
    <cellStyle name="20 % – Poudarek6 2" xfId="12" xr:uid="{00000000-0005-0000-0000-000014000000}"/>
    <cellStyle name="20 % – Poudarek6 2 2" xfId="102" xr:uid="{00000000-0005-0000-0000-000015000000}"/>
    <cellStyle name="20 % – Poudarek6 2 3" xfId="149" xr:uid="{00000000-0005-0000-0000-000016000000}"/>
    <cellStyle name="20 % – Poudarek6 3" xfId="60" xr:uid="{00000000-0005-0000-0000-000017000000}"/>
    <cellStyle name="40 % – Poudarek1 2" xfId="13" xr:uid="{00000000-0005-0000-0000-000018000000}"/>
    <cellStyle name="40 % – Poudarek1 2 2" xfId="103" xr:uid="{00000000-0005-0000-0000-000019000000}"/>
    <cellStyle name="40 % – Poudarek1 2 3" xfId="150" xr:uid="{00000000-0005-0000-0000-00001A000000}"/>
    <cellStyle name="40 % – Poudarek1 3" xfId="61" xr:uid="{00000000-0005-0000-0000-00001B000000}"/>
    <cellStyle name="40 % – Poudarek2 2" xfId="14" xr:uid="{00000000-0005-0000-0000-00001C000000}"/>
    <cellStyle name="40 % – Poudarek2 2 2" xfId="104" xr:uid="{00000000-0005-0000-0000-00001D000000}"/>
    <cellStyle name="40 % – Poudarek2 2 3" xfId="151" xr:uid="{00000000-0005-0000-0000-00001E000000}"/>
    <cellStyle name="40 % – Poudarek2 3" xfId="62" xr:uid="{00000000-0005-0000-0000-00001F000000}"/>
    <cellStyle name="40 % – Poudarek3 2" xfId="15" xr:uid="{00000000-0005-0000-0000-000020000000}"/>
    <cellStyle name="40 % – Poudarek3 2 2" xfId="105" xr:uid="{00000000-0005-0000-0000-000021000000}"/>
    <cellStyle name="40 % – Poudarek3 2 3" xfId="152" xr:uid="{00000000-0005-0000-0000-000022000000}"/>
    <cellStyle name="40 % – Poudarek3 3" xfId="63" xr:uid="{00000000-0005-0000-0000-000023000000}"/>
    <cellStyle name="40 % – Poudarek4 2" xfId="16" xr:uid="{00000000-0005-0000-0000-000024000000}"/>
    <cellStyle name="40 % – Poudarek4 2 2" xfId="106" xr:uid="{00000000-0005-0000-0000-000025000000}"/>
    <cellStyle name="40 % – Poudarek4 2 3" xfId="153" xr:uid="{00000000-0005-0000-0000-000026000000}"/>
    <cellStyle name="40 % – Poudarek4 3" xfId="64" xr:uid="{00000000-0005-0000-0000-000027000000}"/>
    <cellStyle name="40 % – Poudarek5 2" xfId="17" xr:uid="{00000000-0005-0000-0000-000028000000}"/>
    <cellStyle name="40 % – Poudarek5 2 2" xfId="107" xr:uid="{00000000-0005-0000-0000-000029000000}"/>
    <cellStyle name="40 % – Poudarek5 2 3" xfId="154" xr:uid="{00000000-0005-0000-0000-00002A000000}"/>
    <cellStyle name="40 % – Poudarek5 3" xfId="65" xr:uid="{00000000-0005-0000-0000-00002B000000}"/>
    <cellStyle name="40 % – Poudarek6 2" xfId="18" xr:uid="{00000000-0005-0000-0000-00002C000000}"/>
    <cellStyle name="40 % – Poudarek6 2 2" xfId="108" xr:uid="{00000000-0005-0000-0000-00002D000000}"/>
    <cellStyle name="40 % – Poudarek6 2 3" xfId="155" xr:uid="{00000000-0005-0000-0000-00002E000000}"/>
    <cellStyle name="40 % – Poudarek6 3" xfId="66" xr:uid="{00000000-0005-0000-0000-00002F000000}"/>
    <cellStyle name="60 % – Poudarek1 2" xfId="19" xr:uid="{00000000-0005-0000-0000-000030000000}"/>
    <cellStyle name="60 % – Poudarek1 2 2" xfId="109" xr:uid="{00000000-0005-0000-0000-000031000000}"/>
    <cellStyle name="60 % – Poudarek1 2 3" xfId="156" xr:uid="{00000000-0005-0000-0000-000032000000}"/>
    <cellStyle name="60 % – Poudarek1 3" xfId="67" xr:uid="{00000000-0005-0000-0000-000033000000}"/>
    <cellStyle name="60 % – Poudarek2 2" xfId="20" xr:uid="{00000000-0005-0000-0000-000034000000}"/>
    <cellStyle name="60 % – Poudarek2 2 2" xfId="110" xr:uid="{00000000-0005-0000-0000-000035000000}"/>
    <cellStyle name="60 % – Poudarek2 2 3" xfId="157" xr:uid="{00000000-0005-0000-0000-000036000000}"/>
    <cellStyle name="60 % – Poudarek2 3" xfId="68" xr:uid="{00000000-0005-0000-0000-000037000000}"/>
    <cellStyle name="60 % – Poudarek3 2" xfId="21" xr:uid="{00000000-0005-0000-0000-000038000000}"/>
    <cellStyle name="60 % – Poudarek3 2 2" xfId="111" xr:uid="{00000000-0005-0000-0000-000039000000}"/>
    <cellStyle name="60 % – Poudarek3 2 3" xfId="158" xr:uid="{00000000-0005-0000-0000-00003A000000}"/>
    <cellStyle name="60 % – Poudarek3 3" xfId="69" xr:uid="{00000000-0005-0000-0000-00003B000000}"/>
    <cellStyle name="60 % – Poudarek4 2" xfId="22" xr:uid="{00000000-0005-0000-0000-00003C000000}"/>
    <cellStyle name="60 % – Poudarek4 2 2" xfId="112" xr:uid="{00000000-0005-0000-0000-00003D000000}"/>
    <cellStyle name="60 % – Poudarek4 2 3" xfId="159" xr:uid="{00000000-0005-0000-0000-00003E000000}"/>
    <cellStyle name="60 % – Poudarek4 3" xfId="70" xr:uid="{00000000-0005-0000-0000-00003F000000}"/>
    <cellStyle name="60 % – Poudarek5 2" xfId="23" xr:uid="{00000000-0005-0000-0000-000040000000}"/>
    <cellStyle name="60 % – Poudarek5 2 2" xfId="113" xr:uid="{00000000-0005-0000-0000-000041000000}"/>
    <cellStyle name="60 % – Poudarek5 2 3" xfId="160" xr:uid="{00000000-0005-0000-0000-000042000000}"/>
    <cellStyle name="60 % – Poudarek5 3" xfId="71" xr:uid="{00000000-0005-0000-0000-000043000000}"/>
    <cellStyle name="60 % – Poudarek6 2" xfId="24" xr:uid="{00000000-0005-0000-0000-000044000000}"/>
    <cellStyle name="60 % – Poudarek6 2 2" xfId="114" xr:uid="{00000000-0005-0000-0000-000045000000}"/>
    <cellStyle name="60 % – Poudarek6 2 3" xfId="161" xr:uid="{00000000-0005-0000-0000-000046000000}"/>
    <cellStyle name="60 % – Poudarek6 3" xfId="72" xr:uid="{00000000-0005-0000-0000-000047000000}"/>
    <cellStyle name="cf1" xfId="315" xr:uid="{14C755B4-6E8E-4C9A-989D-83DDDBB094F9}"/>
    <cellStyle name="cf2" xfId="316" xr:uid="{8F249E3A-7C5F-41E4-9C59-0DE1EBD3FE91}"/>
    <cellStyle name="cf3" xfId="317" xr:uid="{F4A3F4E7-8155-4AE6-8D82-07E9ADB543A7}"/>
    <cellStyle name="cf4" xfId="318" xr:uid="{B2D19B5E-9C3F-481A-A740-430509A69195}"/>
    <cellStyle name="cf5" xfId="319" xr:uid="{52F1A251-7CD3-458C-BFA8-AC4AC79DA7D2}"/>
    <cellStyle name="Dobro 2" xfId="25" xr:uid="{00000000-0005-0000-0000-000048000000}"/>
    <cellStyle name="Dobro 2 2" xfId="115" xr:uid="{00000000-0005-0000-0000-000049000000}"/>
    <cellStyle name="Dobro 2 3" xfId="162" xr:uid="{00000000-0005-0000-0000-00004A000000}"/>
    <cellStyle name="Dobro 3" xfId="73" xr:uid="{00000000-0005-0000-0000-00004B000000}"/>
    <cellStyle name="Euro" xfId="139" xr:uid="{00000000-0005-0000-0000-00004C000000}"/>
    <cellStyle name="Hiperpovezava" xfId="320" xr:uid="{2928D9C5-11B6-48C2-974F-A0417196B943}"/>
    <cellStyle name="Hiperpovezava 2" xfId="26" xr:uid="{00000000-0005-0000-0000-00004D000000}"/>
    <cellStyle name="Izhod 2" xfId="27" xr:uid="{00000000-0005-0000-0000-00004E000000}"/>
    <cellStyle name="Izhod 2 2" xfId="116" xr:uid="{00000000-0005-0000-0000-00004F000000}"/>
    <cellStyle name="Izhod 2 2 2" xfId="213" xr:uid="{00000000-0005-0000-0000-000050000000}"/>
    <cellStyle name="Izhod 2 2 2 2" xfId="293" xr:uid="{00000000-0005-0000-0000-000051000000}"/>
    <cellStyle name="Izhod 2 2 2 2 2" xfId="312" xr:uid="{00000000-0005-0000-0000-000052000000}"/>
    <cellStyle name="Izhod 2 2 2 3" xfId="244" xr:uid="{00000000-0005-0000-0000-000053000000}"/>
    <cellStyle name="Izhod 2 2 3" xfId="270" xr:uid="{00000000-0005-0000-0000-000054000000}"/>
    <cellStyle name="Izhod 2 2 3 2" xfId="305" xr:uid="{00000000-0005-0000-0000-000055000000}"/>
    <cellStyle name="Izhod 2 2 4" xfId="233" xr:uid="{00000000-0005-0000-0000-000056000000}"/>
    <cellStyle name="Izhod 2 3" xfId="163" xr:uid="{00000000-0005-0000-0000-000057000000}"/>
    <cellStyle name="Izhod 2 3 2" xfId="250" xr:uid="{00000000-0005-0000-0000-000058000000}"/>
    <cellStyle name="Izhod 2 3 2 2" xfId="303" xr:uid="{00000000-0005-0000-0000-000059000000}"/>
    <cellStyle name="Izhod 2 3 3" xfId="235" xr:uid="{00000000-0005-0000-0000-00005A000000}"/>
    <cellStyle name="Izhod 2 4" xfId="192" xr:uid="{00000000-0005-0000-0000-00005B000000}"/>
    <cellStyle name="Izhod 2 4 2" xfId="286" xr:uid="{00000000-0005-0000-0000-00005C000000}"/>
    <cellStyle name="Izhod 2 4 2 2" xfId="310" xr:uid="{00000000-0005-0000-0000-00005D000000}"/>
    <cellStyle name="Izhod 2 4 3" xfId="238" xr:uid="{00000000-0005-0000-0000-00005E000000}"/>
    <cellStyle name="Izhod 2 5" xfId="199" xr:uid="{00000000-0005-0000-0000-00005F000000}"/>
    <cellStyle name="Izhod 2 5 2" xfId="291" xr:uid="{00000000-0005-0000-0000-000060000000}"/>
    <cellStyle name="Izhod 2 5 2 2" xfId="311" xr:uid="{00000000-0005-0000-0000-000061000000}"/>
    <cellStyle name="Izhod 2 5 3" xfId="240" xr:uid="{00000000-0005-0000-0000-000062000000}"/>
    <cellStyle name="Izhod 2 6" xfId="203" xr:uid="{00000000-0005-0000-0000-000063000000}"/>
    <cellStyle name="Izhod 2 6 2" xfId="242" xr:uid="{00000000-0005-0000-0000-000064000000}"/>
    <cellStyle name="Izhod 2 6 3" xfId="300" xr:uid="{00000000-0005-0000-0000-000065000000}"/>
    <cellStyle name="Izhod 2 7" xfId="225" xr:uid="{00000000-0005-0000-0000-000066000000}"/>
    <cellStyle name="Izhod 2 7 2" xfId="248" xr:uid="{00000000-0005-0000-0000-000067000000}"/>
    <cellStyle name="Izhod 2 7 3" xfId="302" xr:uid="{00000000-0005-0000-0000-000068000000}"/>
    <cellStyle name="Izhod 3" xfId="185" xr:uid="{00000000-0005-0000-0000-000069000000}"/>
    <cellStyle name="Izhod 3 2" xfId="280" xr:uid="{00000000-0005-0000-0000-00006A000000}"/>
    <cellStyle name="Izhod 3 2 2" xfId="308" xr:uid="{00000000-0005-0000-0000-00006B000000}"/>
    <cellStyle name="Izhod 3 3" xfId="236" xr:uid="{00000000-0005-0000-0000-00006C000000}"/>
    <cellStyle name="Izhod 4" xfId="187" xr:uid="{00000000-0005-0000-0000-00006D000000}"/>
    <cellStyle name="Izhod 4 2" xfId="282" xr:uid="{00000000-0005-0000-0000-00006E000000}"/>
    <cellStyle name="Izhod 4 2 2" xfId="309" xr:uid="{00000000-0005-0000-0000-00006F000000}"/>
    <cellStyle name="Izhod 4 3" xfId="237" xr:uid="{00000000-0005-0000-0000-000070000000}"/>
    <cellStyle name="Izhod 5" xfId="204" xr:uid="{00000000-0005-0000-0000-000071000000}"/>
    <cellStyle name="Izhod 5 2" xfId="243" xr:uid="{00000000-0005-0000-0000-000072000000}"/>
    <cellStyle name="Izhod 5 3" xfId="301" xr:uid="{00000000-0005-0000-0000-000073000000}"/>
    <cellStyle name="Izhod 6" xfId="74" xr:uid="{00000000-0005-0000-0000-000074000000}"/>
    <cellStyle name="Izhod 6 2" xfId="268" xr:uid="{00000000-0005-0000-0000-000075000000}"/>
    <cellStyle name="Izhod 6 3" xfId="304" xr:uid="{00000000-0005-0000-0000-000076000000}"/>
    <cellStyle name="Izhod 7" xfId="232" xr:uid="{00000000-0005-0000-0000-000077000000}"/>
    <cellStyle name="Naslov 1 2" xfId="29" xr:uid="{00000000-0005-0000-0000-000078000000}"/>
    <cellStyle name="Naslov 1 2 2" xfId="118" xr:uid="{00000000-0005-0000-0000-000079000000}"/>
    <cellStyle name="Naslov 1 2 3" xfId="164" xr:uid="{00000000-0005-0000-0000-00007A000000}"/>
    <cellStyle name="Naslov 1 3" xfId="76" xr:uid="{00000000-0005-0000-0000-00007B000000}"/>
    <cellStyle name="Naslov 2 2" xfId="30" xr:uid="{00000000-0005-0000-0000-00007C000000}"/>
    <cellStyle name="Naslov 2 2 2" xfId="119" xr:uid="{00000000-0005-0000-0000-00007D000000}"/>
    <cellStyle name="Naslov 2 2 3" xfId="165" xr:uid="{00000000-0005-0000-0000-00007E000000}"/>
    <cellStyle name="Naslov 2 3" xfId="77" xr:uid="{00000000-0005-0000-0000-00007F000000}"/>
    <cellStyle name="Naslov 3 2" xfId="31" xr:uid="{00000000-0005-0000-0000-000080000000}"/>
    <cellStyle name="Naslov 3 2 2" xfId="120" xr:uid="{00000000-0005-0000-0000-000081000000}"/>
    <cellStyle name="Naslov 3 2 2 2" xfId="271" xr:uid="{00000000-0005-0000-0000-000082000000}"/>
    <cellStyle name="Naslov 3 2 2 2 2" xfId="306" xr:uid="{00000000-0005-0000-0000-000083000000}"/>
    <cellStyle name="Naslov 3 2 3" xfId="166" xr:uid="{00000000-0005-0000-0000-000084000000}"/>
    <cellStyle name="Naslov 3 2 3 2" xfId="279" xr:uid="{00000000-0005-0000-0000-000085000000}"/>
    <cellStyle name="Naslov 3 2 3 2 2" xfId="307" xr:uid="{00000000-0005-0000-0000-000086000000}"/>
    <cellStyle name="Naslov 3 2 4" xfId="226" xr:uid="{00000000-0005-0000-0000-000087000000}"/>
    <cellStyle name="Naslov 3 2 4 2" xfId="249" xr:uid="{00000000-0005-0000-0000-000088000000}"/>
    <cellStyle name="Naslov 3 3" xfId="78" xr:uid="{00000000-0005-0000-0000-000089000000}"/>
    <cellStyle name="Naslov 3 3 2" xfId="269" xr:uid="{00000000-0005-0000-0000-00008A000000}"/>
    <cellStyle name="Naslov 4 2" xfId="32" xr:uid="{00000000-0005-0000-0000-00008B000000}"/>
    <cellStyle name="Naslov 4 2 2" xfId="121" xr:uid="{00000000-0005-0000-0000-00008C000000}"/>
    <cellStyle name="Naslov 4 2 3" xfId="167" xr:uid="{00000000-0005-0000-0000-00008D000000}"/>
    <cellStyle name="Naslov 4 3" xfId="79" xr:uid="{00000000-0005-0000-0000-00008E000000}"/>
    <cellStyle name="Naslov 5" xfId="28" xr:uid="{00000000-0005-0000-0000-00008F000000}"/>
    <cellStyle name="Naslov 5 2" xfId="117" xr:uid="{00000000-0005-0000-0000-000090000000}"/>
    <cellStyle name="Naslov 6" xfId="75" xr:uid="{00000000-0005-0000-0000-000091000000}"/>
    <cellStyle name="Navadno" xfId="0" builtinId="0"/>
    <cellStyle name="Navadno 10" xfId="219" xr:uid="{00000000-0005-0000-0000-000093000000}"/>
    <cellStyle name="Navadno 11" xfId="220" xr:uid="{00000000-0005-0000-0000-000094000000}"/>
    <cellStyle name="Navadno 11 2" xfId="260" xr:uid="{00000000-0005-0000-0000-000095000000}"/>
    <cellStyle name="Navadno 12" xfId="54" xr:uid="{00000000-0005-0000-0000-000096000000}"/>
    <cellStyle name="Navadno 13" xfId="313" xr:uid="{A4D3DE5F-5752-4A9C-86F1-2ACB44675BAB}"/>
    <cellStyle name="Navadno 14" xfId="323" xr:uid="{3B18A799-43AD-49BE-8964-F92003E4A089}"/>
    <cellStyle name="Navadno 2" xfId="2" xr:uid="{00000000-0005-0000-0000-000097000000}"/>
    <cellStyle name="Navadno 2 2" xfId="33" xr:uid="{00000000-0005-0000-0000-000098000000}"/>
    <cellStyle name="Navadno 2 3" xfId="202" xr:uid="{00000000-0005-0000-0000-000099000000}"/>
    <cellStyle name="Navadno 2 4" xfId="321" xr:uid="{B163B065-C0F6-4BE0-BB06-6EE8059D1C1D}"/>
    <cellStyle name="Navadno 2_breskve" xfId="34" xr:uid="{00000000-0005-0000-0000-00009A000000}"/>
    <cellStyle name="Navadno 3" xfId="1" xr:uid="{00000000-0005-0000-0000-00009B000000}"/>
    <cellStyle name="Navadno 3 2" xfId="35" xr:uid="{00000000-0005-0000-0000-00009C000000}"/>
    <cellStyle name="Navadno 3 3" xfId="221" xr:uid="{00000000-0005-0000-0000-00009D000000}"/>
    <cellStyle name="Navadno 3 4" xfId="322" xr:uid="{46055E79-E0BB-49B0-9E8E-0739AF92BBA4}"/>
    <cellStyle name="Navadno 4" xfId="4" xr:uid="{00000000-0005-0000-0000-00009E000000}"/>
    <cellStyle name="Navadno 4 2" xfId="5" xr:uid="{00000000-0005-0000-0000-00009F000000}"/>
    <cellStyle name="Navadno 4 2 2" xfId="223" xr:uid="{00000000-0005-0000-0000-0000A0000000}"/>
    <cellStyle name="Navadno 4 2 3" xfId="246" xr:uid="{00000000-0005-0000-0000-0000A1000000}"/>
    <cellStyle name="Navadno 4 3" xfId="36" xr:uid="{00000000-0005-0000-0000-0000A2000000}"/>
    <cellStyle name="Navadno 4 4" xfId="222" xr:uid="{00000000-0005-0000-0000-0000A3000000}"/>
    <cellStyle name="Navadno 4 4 2" xfId="245" xr:uid="{00000000-0005-0000-0000-0000A4000000}"/>
    <cellStyle name="Navadno 5" xfId="6" xr:uid="{00000000-0005-0000-0000-0000A5000000}"/>
    <cellStyle name="Navadno 5 2" xfId="53" xr:uid="{00000000-0005-0000-0000-0000A6000000}"/>
    <cellStyle name="Navadno 5 2 2" xfId="214" xr:uid="{00000000-0005-0000-0000-0000A7000000}"/>
    <cellStyle name="Navadno 5 2 3" xfId="231" xr:uid="{00000000-0005-0000-0000-0000A8000000}"/>
    <cellStyle name="Navadno 5 2 4" xfId="142" xr:uid="{00000000-0005-0000-0000-0000A9000000}"/>
    <cellStyle name="Navadno 5 3" xfId="197" xr:uid="{00000000-0005-0000-0000-0000AA000000}"/>
    <cellStyle name="Navadno 5 4" xfId="224" xr:uid="{00000000-0005-0000-0000-0000AB000000}"/>
    <cellStyle name="Navadno 5 4 2" xfId="247" xr:uid="{00000000-0005-0000-0000-0000AC000000}"/>
    <cellStyle name="Navadno 5 5" xfId="96" xr:uid="{00000000-0005-0000-0000-0000AD000000}"/>
    <cellStyle name="Navadno 6" xfId="141" xr:uid="{00000000-0005-0000-0000-0000AE000000}"/>
    <cellStyle name="Navadno 6 2" xfId="200" xr:uid="{00000000-0005-0000-0000-0000AF000000}"/>
    <cellStyle name="Navadno 6 2 2" xfId="251" xr:uid="{00000000-0005-0000-0000-0000B0000000}"/>
    <cellStyle name="Navadno 6 2 2 2" xfId="299" xr:uid="{00000000-0005-0000-0000-0000B1000000}"/>
    <cellStyle name="Navadno 6 2 3" xfId="261" xr:uid="{00000000-0005-0000-0000-0000B2000000}"/>
    <cellStyle name="Navadno 6 2 4" xfId="265" xr:uid="{00000000-0005-0000-0000-0000B3000000}"/>
    <cellStyle name="Navadno 6 2 5" xfId="292" xr:uid="{00000000-0005-0000-0000-0000B4000000}"/>
    <cellStyle name="Navadno 6 2 6" xfId="241" xr:uid="{00000000-0005-0000-0000-0000B5000000}"/>
    <cellStyle name="Navadno 6 3" xfId="252" xr:uid="{00000000-0005-0000-0000-0000B6000000}"/>
    <cellStyle name="Navadno 6 3 2" xfId="297" xr:uid="{00000000-0005-0000-0000-0000B7000000}"/>
    <cellStyle name="Navadno 6 4" xfId="262" xr:uid="{00000000-0005-0000-0000-0000B8000000}"/>
    <cellStyle name="Navadno 6 5" xfId="266" xr:uid="{00000000-0005-0000-0000-0000B9000000}"/>
    <cellStyle name="Navadno 6 6" xfId="278" xr:uid="{00000000-0005-0000-0000-0000BA000000}"/>
    <cellStyle name="Navadno 6 7" xfId="234" xr:uid="{00000000-0005-0000-0000-0000BB000000}"/>
    <cellStyle name="Navadno 7" xfId="143" xr:uid="{00000000-0005-0000-0000-0000BC000000}"/>
    <cellStyle name="Navadno 8" xfId="201" xr:uid="{00000000-0005-0000-0000-0000BD000000}"/>
    <cellStyle name="Navadno 9" xfId="198" xr:uid="{00000000-0005-0000-0000-0000BE000000}"/>
    <cellStyle name="Navadno 9 2" xfId="253" xr:uid="{00000000-0005-0000-0000-0000BF000000}"/>
    <cellStyle name="Navadno 9 2 2" xfId="298" xr:uid="{00000000-0005-0000-0000-0000C0000000}"/>
    <cellStyle name="Navadno 9 3" xfId="263" xr:uid="{00000000-0005-0000-0000-0000C1000000}"/>
    <cellStyle name="Navadno 9 4" xfId="267" xr:uid="{00000000-0005-0000-0000-0000C2000000}"/>
    <cellStyle name="Navadno 9 5" xfId="290" xr:uid="{00000000-0005-0000-0000-0000C3000000}"/>
    <cellStyle name="Navadno 9 6" xfId="239" xr:uid="{00000000-0005-0000-0000-0000C4000000}"/>
    <cellStyle name="Navadno_ZBPOLVALUEleto" xfId="3" xr:uid="{00000000-0005-0000-0000-0000C5000000}"/>
    <cellStyle name="Nevtralno 2" xfId="37" xr:uid="{00000000-0005-0000-0000-0000C6000000}"/>
    <cellStyle name="Nevtralno 2 2" xfId="122" xr:uid="{00000000-0005-0000-0000-0000C7000000}"/>
    <cellStyle name="Nevtralno 2 3" xfId="168" xr:uid="{00000000-0005-0000-0000-0000C8000000}"/>
    <cellStyle name="Nevtralno 3" xfId="80" xr:uid="{00000000-0005-0000-0000-0000C9000000}"/>
    <cellStyle name="Odstotek 2" xfId="314" xr:uid="{A17A0448-72DC-4D9B-B02B-29250504CD99}"/>
    <cellStyle name="Opomba 2" xfId="38" xr:uid="{00000000-0005-0000-0000-0000CB000000}"/>
    <cellStyle name="Opomba 2 2" xfId="123" xr:uid="{00000000-0005-0000-0000-0000CC000000}"/>
    <cellStyle name="Opomba 2 2 2" xfId="215" xr:uid="{00000000-0005-0000-0000-0000CD000000}"/>
    <cellStyle name="Opomba 2 2 3" xfId="272" xr:uid="{00000000-0005-0000-0000-0000CE000000}"/>
    <cellStyle name="Opomba 2 3" xfId="169" xr:uid="{00000000-0005-0000-0000-0000CF000000}"/>
    <cellStyle name="Opomba 2 3 2" xfId="264" xr:uid="{00000000-0005-0000-0000-0000D0000000}"/>
    <cellStyle name="Opomba 2 4" xfId="193" xr:uid="{00000000-0005-0000-0000-0000D1000000}"/>
    <cellStyle name="Opomba 2 4 2" xfId="254" xr:uid="{00000000-0005-0000-0000-0000D2000000}"/>
    <cellStyle name="Opomba 2 5" xfId="205" xr:uid="{00000000-0005-0000-0000-0000D3000000}"/>
    <cellStyle name="Opomba 2 6" xfId="227" xr:uid="{00000000-0005-0000-0000-0000D4000000}"/>
    <cellStyle name="Opomba 3" xfId="184" xr:uid="{00000000-0005-0000-0000-0000D5000000}"/>
    <cellStyle name="Opomba 3 2" xfId="255" xr:uid="{00000000-0005-0000-0000-0000D6000000}"/>
    <cellStyle name="Opomba 4" xfId="188" xr:uid="{00000000-0005-0000-0000-0000D7000000}"/>
    <cellStyle name="Opomba 4 2" xfId="256" xr:uid="{00000000-0005-0000-0000-0000D8000000}"/>
    <cellStyle name="Opomba 5" xfId="206" xr:uid="{00000000-0005-0000-0000-0000D9000000}"/>
    <cellStyle name="Opomba 6" xfId="81" xr:uid="{00000000-0005-0000-0000-0000DA000000}"/>
    <cellStyle name="Opozorilo 2" xfId="39" xr:uid="{00000000-0005-0000-0000-0000DB000000}"/>
    <cellStyle name="Opozorilo 2 2" xfId="124" xr:uid="{00000000-0005-0000-0000-0000DC000000}"/>
    <cellStyle name="Opozorilo 2 3" xfId="170" xr:uid="{00000000-0005-0000-0000-0000DD000000}"/>
    <cellStyle name="Opozorilo 3" xfId="82" xr:uid="{00000000-0005-0000-0000-0000DE000000}"/>
    <cellStyle name="Pojasnjevalno besedilo 2" xfId="40" xr:uid="{00000000-0005-0000-0000-0000DF000000}"/>
    <cellStyle name="Pojasnjevalno besedilo 2 2" xfId="125" xr:uid="{00000000-0005-0000-0000-0000E0000000}"/>
    <cellStyle name="Pojasnjevalno besedilo 2 3" xfId="171" xr:uid="{00000000-0005-0000-0000-0000E1000000}"/>
    <cellStyle name="Pojasnjevalno besedilo 3" xfId="83" xr:uid="{00000000-0005-0000-0000-0000E2000000}"/>
    <cellStyle name="Poudarek1 2" xfId="41" xr:uid="{00000000-0005-0000-0000-0000E3000000}"/>
    <cellStyle name="Poudarek1 2 2" xfId="126" xr:uid="{00000000-0005-0000-0000-0000E4000000}"/>
    <cellStyle name="Poudarek1 2 3" xfId="172" xr:uid="{00000000-0005-0000-0000-0000E5000000}"/>
    <cellStyle name="Poudarek1 3" xfId="84" xr:uid="{00000000-0005-0000-0000-0000E6000000}"/>
    <cellStyle name="Poudarek2 2" xfId="42" xr:uid="{00000000-0005-0000-0000-0000E7000000}"/>
    <cellStyle name="Poudarek2 2 2" xfId="127" xr:uid="{00000000-0005-0000-0000-0000E8000000}"/>
    <cellStyle name="Poudarek2 2 3" xfId="173" xr:uid="{00000000-0005-0000-0000-0000E9000000}"/>
    <cellStyle name="Poudarek2 3" xfId="85" xr:uid="{00000000-0005-0000-0000-0000EA000000}"/>
    <cellStyle name="Poudarek3 2" xfId="43" xr:uid="{00000000-0005-0000-0000-0000EB000000}"/>
    <cellStyle name="Poudarek3 2 2" xfId="128" xr:uid="{00000000-0005-0000-0000-0000EC000000}"/>
    <cellStyle name="Poudarek3 2 3" xfId="174" xr:uid="{00000000-0005-0000-0000-0000ED000000}"/>
    <cellStyle name="Poudarek3 3" xfId="86" xr:uid="{00000000-0005-0000-0000-0000EE000000}"/>
    <cellStyle name="Poudarek4 2" xfId="44" xr:uid="{00000000-0005-0000-0000-0000EF000000}"/>
    <cellStyle name="Poudarek4 2 2" xfId="129" xr:uid="{00000000-0005-0000-0000-0000F0000000}"/>
    <cellStyle name="Poudarek4 2 3" xfId="175" xr:uid="{00000000-0005-0000-0000-0000F1000000}"/>
    <cellStyle name="Poudarek4 3" xfId="87" xr:uid="{00000000-0005-0000-0000-0000F2000000}"/>
    <cellStyle name="Poudarek5 2" xfId="45" xr:uid="{00000000-0005-0000-0000-0000F3000000}"/>
    <cellStyle name="Poudarek5 2 2" xfId="130" xr:uid="{00000000-0005-0000-0000-0000F4000000}"/>
    <cellStyle name="Poudarek5 2 3" xfId="176" xr:uid="{00000000-0005-0000-0000-0000F5000000}"/>
    <cellStyle name="Poudarek5 3" xfId="88" xr:uid="{00000000-0005-0000-0000-0000F6000000}"/>
    <cellStyle name="Poudarek6 2" xfId="46" xr:uid="{00000000-0005-0000-0000-0000F7000000}"/>
    <cellStyle name="Poudarek6 2 2" xfId="131" xr:uid="{00000000-0005-0000-0000-0000F8000000}"/>
    <cellStyle name="Poudarek6 2 3" xfId="177" xr:uid="{00000000-0005-0000-0000-0000F9000000}"/>
    <cellStyle name="Poudarek6 3" xfId="89" xr:uid="{00000000-0005-0000-0000-0000FA000000}"/>
    <cellStyle name="Povezana celica 2" xfId="47" xr:uid="{00000000-0005-0000-0000-0000FB000000}"/>
    <cellStyle name="Povezana celica 2 2" xfId="132" xr:uid="{00000000-0005-0000-0000-0000FC000000}"/>
    <cellStyle name="Povezana celica 2 3" xfId="178" xr:uid="{00000000-0005-0000-0000-0000FD000000}"/>
    <cellStyle name="Povezana celica 3" xfId="90" xr:uid="{00000000-0005-0000-0000-0000FE000000}"/>
    <cellStyle name="Preveri celico 2" xfId="48" xr:uid="{00000000-0005-0000-0000-0000FF000000}"/>
    <cellStyle name="Preveri celico 2 2" xfId="133" xr:uid="{00000000-0005-0000-0000-000000010000}"/>
    <cellStyle name="Preveri celico 2 3" xfId="179" xr:uid="{00000000-0005-0000-0000-000001010000}"/>
    <cellStyle name="Preveri celico 3" xfId="91" xr:uid="{00000000-0005-0000-0000-000002010000}"/>
    <cellStyle name="Računanje 2" xfId="49" xr:uid="{00000000-0005-0000-0000-000003010000}"/>
    <cellStyle name="Računanje 2 2" xfId="134" xr:uid="{00000000-0005-0000-0000-000004010000}"/>
    <cellStyle name="Računanje 2 2 2" xfId="216" xr:uid="{00000000-0005-0000-0000-000005010000}"/>
    <cellStyle name="Računanje 2 2 2 2" xfId="294" xr:uid="{00000000-0005-0000-0000-000006010000}"/>
    <cellStyle name="Računanje 2 2 3" xfId="273" xr:uid="{00000000-0005-0000-0000-000007010000}"/>
    <cellStyle name="Računanje 2 3" xfId="180" xr:uid="{00000000-0005-0000-0000-000008010000}"/>
    <cellStyle name="Računanje 2 3 2" xfId="257" xr:uid="{00000000-0005-0000-0000-000009010000}"/>
    <cellStyle name="Računanje 2 4" xfId="194" xr:uid="{00000000-0005-0000-0000-00000A010000}"/>
    <cellStyle name="Računanje 2 4 2" xfId="287" xr:uid="{00000000-0005-0000-0000-00000B010000}"/>
    <cellStyle name="Računanje 2 5" xfId="207" xr:uid="{00000000-0005-0000-0000-00000C010000}"/>
    <cellStyle name="Računanje 2 6" xfId="228" xr:uid="{00000000-0005-0000-0000-00000D010000}"/>
    <cellStyle name="Računanje 3" xfId="138" xr:uid="{00000000-0005-0000-0000-00000E010000}"/>
    <cellStyle name="Računanje 3 2" xfId="276" xr:uid="{00000000-0005-0000-0000-00000F010000}"/>
    <cellStyle name="Računanje 4" xfId="189" xr:uid="{00000000-0005-0000-0000-000010010000}"/>
    <cellStyle name="Računanje 4 2" xfId="283" xr:uid="{00000000-0005-0000-0000-000011010000}"/>
    <cellStyle name="Računanje 5" xfId="208" xr:uid="{00000000-0005-0000-0000-000012010000}"/>
    <cellStyle name="Računanje 6" xfId="92" xr:uid="{00000000-0005-0000-0000-000013010000}"/>
    <cellStyle name="Slabo 2" xfId="50" xr:uid="{00000000-0005-0000-0000-000014010000}"/>
    <cellStyle name="Slabo 2 2" xfId="135" xr:uid="{00000000-0005-0000-0000-000015010000}"/>
    <cellStyle name="Slabo 2 3" xfId="181" xr:uid="{00000000-0005-0000-0000-000016010000}"/>
    <cellStyle name="Slabo 3" xfId="93" xr:uid="{00000000-0005-0000-0000-000017010000}"/>
    <cellStyle name="Vnos 2" xfId="51" xr:uid="{00000000-0005-0000-0000-000018010000}"/>
    <cellStyle name="Vnos 2 2" xfId="136" xr:uid="{00000000-0005-0000-0000-000019010000}"/>
    <cellStyle name="Vnos 2 2 2" xfId="217" xr:uid="{00000000-0005-0000-0000-00001A010000}"/>
    <cellStyle name="Vnos 2 2 2 2" xfId="295" xr:uid="{00000000-0005-0000-0000-00001B010000}"/>
    <cellStyle name="Vnos 2 2 3" xfId="274" xr:uid="{00000000-0005-0000-0000-00001C010000}"/>
    <cellStyle name="Vnos 2 3" xfId="182" xr:uid="{00000000-0005-0000-0000-00001D010000}"/>
    <cellStyle name="Vnos 2 3 2" xfId="258" xr:uid="{00000000-0005-0000-0000-00001E010000}"/>
    <cellStyle name="Vnos 2 4" xfId="195" xr:uid="{00000000-0005-0000-0000-00001F010000}"/>
    <cellStyle name="Vnos 2 4 2" xfId="288" xr:uid="{00000000-0005-0000-0000-000020010000}"/>
    <cellStyle name="Vnos 2 5" xfId="209" xr:uid="{00000000-0005-0000-0000-000021010000}"/>
    <cellStyle name="Vnos 2 6" xfId="229" xr:uid="{00000000-0005-0000-0000-000022010000}"/>
    <cellStyle name="Vnos 3" xfId="140" xr:uid="{00000000-0005-0000-0000-000023010000}"/>
    <cellStyle name="Vnos 3 2" xfId="277" xr:uid="{00000000-0005-0000-0000-000024010000}"/>
    <cellStyle name="Vnos 4" xfId="190" xr:uid="{00000000-0005-0000-0000-000025010000}"/>
    <cellStyle name="Vnos 4 2" xfId="284" xr:uid="{00000000-0005-0000-0000-000026010000}"/>
    <cellStyle name="Vnos 5" xfId="210" xr:uid="{00000000-0005-0000-0000-000027010000}"/>
    <cellStyle name="Vnos 6" xfId="94" xr:uid="{00000000-0005-0000-0000-000028010000}"/>
    <cellStyle name="Vsota 2" xfId="52" xr:uid="{00000000-0005-0000-0000-000029010000}"/>
    <cellStyle name="Vsota 2 2" xfId="137" xr:uid="{00000000-0005-0000-0000-00002A010000}"/>
    <cellStyle name="Vsota 2 2 2" xfId="218" xr:uid="{00000000-0005-0000-0000-00002B010000}"/>
    <cellStyle name="Vsota 2 2 2 2" xfId="296" xr:uid="{00000000-0005-0000-0000-00002C010000}"/>
    <cellStyle name="Vsota 2 2 3" xfId="275" xr:uid="{00000000-0005-0000-0000-00002D010000}"/>
    <cellStyle name="Vsota 2 3" xfId="183" xr:uid="{00000000-0005-0000-0000-00002E010000}"/>
    <cellStyle name="Vsota 2 3 2" xfId="259" xr:uid="{00000000-0005-0000-0000-00002F010000}"/>
    <cellStyle name="Vsota 2 4" xfId="196" xr:uid="{00000000-0005-0000-0000-000030010000}"/>
    <cellStyle name="Vsota 2 4 2" xfId="289" xr:uid="{00000000-0005-0000-0000-000031010000}"/>
    <cellStyle name="Vsota 2 5" xfId="211" xr:uid="{00000000-0005-0000-0000-000032010000}"/>
    <cellStyle name="Vsota 2 6" xfId="230" xr:uid="{00000000-0005-0000-0000-000033010000}"/>
    <cellStyle name="Vsota 3" xfId="186" xr:uid="{00000000-0005-0000-0000-000034010000}"/>
    <cellStyle name="Vsota 3 2" xfId="281" xr:uid="{00000000-0005-0000-0000-000035010000}"/>
    <cellStyle name="Vsota 4" xfId="191" xr:uid="{00000000-0005-0000-0000-000036010000}"/>
    <cellStyle name="Vsota 4 2" xfId="285" xr:uid="{00000000-0005-0000-0000-000037010000}"/>
    <cellStyle name="Vsota 5" xfId="212" xr:uid="{00000000-0005-0000-0000-000038010000}"/>
    <cellStyle name="Vsota 6" xfId="95" xr:uid="{00000000-0005-0000-0000-000039010000}"/>
  </cellStyles>
  <dxfs count="70"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grafi'!$Q$84:$V$84</c:f>
              <c:numCache>
                <c:formatCode>0.00</c:formatCode>
                <c:ptCount val="6"/>
                <c:pt idx="0">
                  <c:v>275.03048204703873</c:v>
                </c:pt>
                <c:pt idx="1">
                  <c:v>283.64592024922479</c:v>
                </c:pt>
                <c:pt idx="2">
                  <c:v>288.30985789659354</c:v>
                </c:pt>
                <c:pt idx="3">
                  <c:v>303.4146412375211</c:v>
                </c:pt>
                <c:pt idx="4">
                  <c:v>318.60803854862428</c:v>
                </c:pt>
                <c:pt idx="5">
                  <c:v>275.92261037227684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9-4219-ACF3-07603C26B918}"/>
            </c:ext>
          </c:extLst>
        </c:ser>
        <c:ser>
          <c:idx val="4"/>
          <c:order val="1"/>
          <c:tx>
            <c:strRef>
              <c:f>'PODATKI grafi'!$P$85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grafi'!$Q$85:$V$85</c:f>
              <c:numCache>
                <c:formatCode>0.00</c:formatCode>
                <c:ptCount val="6"/>
                <c:pt idx="0">
                  <c:v>23.812371534079091</c:v>
                </c:pt>
                <c:pt idx="1">
                  <c:v>24.887824619393427</c:v>
                </c:pt>
                <c:pt idx="2">
                  <c:v>25.163427757281738</c:v>
                </c:pt>
                <c:pt idx="3">
                  <c:v>26.245809838274226</c:v>
                </c:pt>
                <c:pt idx="4">
                  <c:v>27.056337691442877</c:v>
                </c:pt>
                <c:pt idx="5">
                  <c:v>22.339183598792658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39-4219-ACF3-07603C26B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403200"/>
        <c:axId val="107736448"/>
      </c:areaChart>
      <c:lineChart>
        <c:grouping val="standard"/>
        <c:varyColors val="0"/>
        <c:ser>
          <c:idx val="5"/>
          <c:order val="5"/>
          <c:tx>
            <c:strRef>
              <c:f>'PODATKI grafi'!$P$87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grafi'!$Q$87:$V$87</c:f>
              <c:numCache>
                <c:formatCode>0.000</c:formatCode>
                <c:ptCount val="6"/>
                <c:pt idx="0">
                  <c:v>183</c:v>
                </c:pt>
                <c:pt idx="1">
                  <c:v>183</c:v>
                </c:pt>
                <c:pt idx="2">
                  <c:v>183</c:v>
                </c:pt>
                <c:pt idx="3">
                  <c:v>183</c:v>
                </c:pt>
                <c:pt idx="4">
                  <c:v>183</c:v>
                </c:pt>
                <c:pt idx="5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39-4219-ACF3-07603C26B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03200"/>
        <c:axId val="107736448"/>
      </c:lineChart>
      <c:lineChart>
        <c:grouping val="standard"/>
        <c:varyColors val="0"/>
        <c:ser>
          <c:idx val="0"/>
          <c:order val="2"/>
          <c:tx>
            <c:strRef>
              <c:f>'PODATKI grafi'!$P$82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grafi'!$Q$82:$V$82</c:f>
              <c:numCache>
                <c:formatCode>0.00</c:formatCode>
                <c:ptCount val="6"/>
                <c:pt idx="0">
                  <c:v>298.84285358111782</c:v>
                </c:pt>
                <c:pt idx="1">
                  <c:v>308.53374486861821</c:v>
                </c:pt>
                <c:pt idx="2">
                  <c:v>313.47328565387528</c:v>
                </c:pt>
                <c:pt idx="3">
                  <c:v>329.66045107579532</c:v>
                </c:pt>
                <c:pt idx="4">
                  <c:v>345.66437624006716</c:v>
                </c:pt>
                <c:pt idx="5">
                  <c:v>298.26179397106949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39-4219-ACF3-07603C26B918}"/>
            </c:ext>
          </c:extLst>
        </c:ser>
        <c:ser>
          <c:idx val="1"/>
          <c:order val="3"/>
          <c:tx>
            <c:strRef>
              <c:f>'PODATKI grafi'!$P$83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grafi'!$Q$83:$V$83</c:f>
              <c:numCache>
                <c:formatCode>0.00</c:formatCode>
                <c:ptCount val="6"/>
                <c:pt idx="0">
                  <c:v>292.1998090499751</c:v>
                </c:pt>
                <c:pt idx="1">
                  <c:v>301.59067634672459</c:v>
                </c:pt>
                <c:pt idx="2">
                  <c:v>306.45333088336525</c:v>
                </c:pt>
                <c:pt idx="3">
                  <c:v>322.33853930140378</c:v>
                </c:pt>
                <c:pt idx="4">
                  <c:v>338.11634786008574</c:v>
                </c:pt>
                <c:pt idx="5">
                  <c:v>292.02973131306129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39-4219-ACF3-07603C26B918}"/>
            </c:ext>
          </c:extLst>
        </c:ser>
        <c:ser>
          <c:idx val="2"/>
          <c:order val="4"/>
          <c:tx>
            <c:strRef>
              <c:f>'PODATKI grafi'!$P$84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grafi'!$Q$84:$V$84</c:f>
              <c:numCache>
                <c:formatCode>0.00</c:formatCode>
                <c:ptCount val="6"/>
                <c:pt idx="0">
                  <c:v>275.03048204703873</c:v>
                </c:pt>
                <c:pt idx="1">
                  <c:v>283.64592024922479</c:v>
                </c:pt>
                <c:pt idx="2">
                  <c:v>288.30985789659354</c:v>
                </c:pt>
                <c:pt idx="3">
                  <c:v>303.4146412375211</c:v>
                </c:pt>
                <c:pt idx="4">
                  <c:v>318.60803854862428</c:v>
                </c:pt>
                <c:pt idx="5">
                  <c:v>275.92261037227684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39-4219-ACF3-07603C26B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03712"/>
        <c:axId val="107737024"/>
      </c:lineChart>
      <c:catAx>
        <c:axId val="156403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0773644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07736448"/>
        <c:scaling>
          <c:orientation val="minMax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56403200"/>
        <c:crosses val="autoZero"/>
        <c:crossBetween val="midCat"/>
        <c:majorUnit val="50"/>
      </c:valAx>
      <c:catAx>
        <c:axId val="15640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737024"/>
        <c:crossesAt val="25"/>
        <c:auto val="1"/>
        <c:lblAlgn val="ctr"/>
        <c:lblOffset val="100"/>
        <c:noMultiLvlLbl val="0"/>
      </c:catAx>
      <c:valAx>
        <c:axId val="107737024"/>
        <c:scaling>
          <c:orientation val="minMax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56403712"/>
        <c:crosses val="max"/>
        <c:crossBetween val="midCat"/>
        <c:majorUnit val="50"/>
        <c:minorUnit val="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grafi'!$J$223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grafi'!$Q$223:$V$223</c:f>
              <c:numCache>
                <c:formatCode>0</c:formatCode>
                <c:ptCount val="6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  <c:pt idx="4">
                  <c:v>23.94</c:v>
                </c:pt>
                <c:pt idx="5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1-4FCE-8C05-85DDB0ED584A}"/>
            </c:ext>
          </c:extLst>
        </c:ser>
        <c:ser>
          <c:idx val="1"/>
          <c:order val="2"/>
          <c:tx>
            <c:strRef>
              <c:f>'PODATKI grafi'!$J$224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grafi'!$Q$224:$V$224</c:f>
              <c:numCache>
                <c:formatCode>0</c:formatCode>
                <c:ptCount val="6"/>
                <c:pt idx="0">
                  <c:v>22949.999999999996</c:v>
                </c:pt>
                <c:pt idx="1">
                  <c:v>18360</c:v>
                </c:pt>
                <c:pt idx="2">
                  <c:v>13769.999999999998</c:v>
                </c:pt>
                <c:pt idx="3">
                  <c:v>11474.999999999998</c:v>
                </c:pt>
                <c:pt idx="4">
                  <c:v>13769.999999999998</c:v>
                </c:pt>
                <c:pt idx="5">
                  <c:v>18360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1-4FCE-8C05-85DDB0ED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379264"/>
        <c:axId val="162253632"/>
      </c:barChart>
      <c:lineChart>
        <c:grouping val="standard"/>
        <c:varyColors val="0"/>
        <c:ser>
          <c:idx val="2"/>
          <c:order val="1"/>
          <c:tx>
            <c:strRef>
              <c:f>'PODATKI grafi'!$J$236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grafi'!$Q$236:$V$236</c:f>
              <c:numCache>
                <c:formatCode>#,##0.0</c:formatCode>
                <c:ptCount val="6"/>
                <c:pt idx="0">
                  <c:v>17701.402611667127</c:v>
                </c:pt>
                <c:pt idx="1">
                  <c:v>13138.575458242876</c:v>
                </c:pt>
                <c:pt idx="2">
                  <c:v>8629.6756927657116</c:v>
                </c:pt>
                <c:pt idx="3">
                  <c:v>6498.8480697559662</c:v>
                </c:pt>
                <c:pt idx="4">
                  <c:v>8538.7428818826666</c:v>
                </c:pt>
                <c:pt idx="5">
                  <c:v>13101.601709405648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A1-4FCE-8C05-85DDB0ED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79264"/>
        <c:axId val="162253632"/>
      </c:lineChart>
      <c:catAx>
        <c:axId val="16237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2253632"/>
        <c:crosses val="autoZero"/>
        <c:auto val="1"/>
        <c:lblAlgn val="ctr"/>
        <c:lblOffset val="100"/>
        <c:noMultiLvlLbl val="0"/>
      </c:catAx>
      <c:valAx>
        <c:axId val="162253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2379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grafi'!$Q$269:$U$269</c:f>
              <c:numCache>
                <c:formatCode>0.00</c:formatCode>
                <c:ptCount val="5"/>
                <c:pt idx="0">
                  <c:v>391.45181744225425</c:v>
                </c:pt>
                <c:pt idx="1">
                  <c:v>410.92124747889102</c:v>
                </c:pt>
                <c:pt idx="2">
                  <c:v>462.01882171554445</c:v>
                </c:pt>
                <c:pt idx="3">
                  <c:v>491.27370627803504</c:v>
                </c:pt>
                <c:pt idx="4">
                  <c:v>521.50510904930752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5-455A-8893-1145011F5BEF}"/>
            </c:ext>
          </c:extLst>
        </c:ser>
        <c:ser>
          <c:idx val="4"/>
          <c:order val="1"/>
          <c:tx>
            <c:strRef>
              <c:f>'PODATKI grafi'!$P$270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grafi'!$Q$270:$U$270</c:f>
              <c:numCache>
                <c:formatCode>0.00</c:formatCode>
                <c:ptCount val="5"/>
                <c:pt idx="0">
                  <c:v>67.191087230561493</c:v>
                </c:pt>
                <c:pt idx="1">
                  <c:v>70.76415227617332</c:v>
                </c:pt>
                <c:pt idx="2">
                  <c:v>80.292325731137964</c:v>
                </c:pt>
                <c:pt idx="3">
                  <c:v>86.842944981426228</c:v>
                </c:pt>
                <c:pt idx="4">
                  <c:v>94.275730108243465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85-455A-8893-1145011F5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800"/>
        <c:axId val="162255936"/>
      </c:areaChart>
      <c:lineChart>
        <c:grouping val="standard"/>
        <c:varyColors val="0"/>
        <c:ser>
          <c:idx val="5"/>
          <c:order val="5"/>
          <c:tx>
            <c:strRef>
              <c:f>'PODATKI grafi'!$P$272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grafi'!$Q$272:$U$272</c:f>
              <c:numCache>
                <c:formatCode>0.000</c:formatCode>
                <c:ptCount val="5"/>
                <c:pt idx="0">
                  <c:v>640.99999999999989</c:v>
                </c:pt>
                <c:pt idx="1">
                  <c:v>640.99999999999989</c:v>
                </c:pt>
                <c:pt idx="2">
                  <c:v>640.99999999999989</c:v>
                </c:pt>
                <c:pt idx="3">
                  <c:v>640.99999999999989</c:v>
                </c:pt>
                <c:pt idx="4">
                  <c:v>640.99999999999989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85-455A-8893-1145011F5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80800"/>
        <c:axId val="162255936"/>
      </c:lineChart>
      <c:lineChart>
        <c:grouping val="standard"/>
        <c:varyColors val="0"/>
        <c:ser>
          <c:idx val="0"/>
          <c:order val="2"/>
          <c:tx>
            <c:strRef>
              <c:f>'PODATKI grafi'!$P$267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grafi'!$Q$267:$U$267</c:f>
              <c:numCache>
                <c:formatCode>0.00</c:formatCode>
                <c:ptCount val="5"/>
                <c:pt idx="0">
                  <c:v>458.64290467281575</c:v>
                </c:pt>
                <c:pt idx="1">
                  <c:v>481.68539975506434</c:v>
                </c:pt>
                <c:pt idx="2">
                  <c:v>542.31114744668241</c:v>
                </c:pt>
                <c:pt idx="3">
                  <c:v>578.11665125946126</c:v>
                </c:pt>
                <c:pt idx="4">
                  <c:v>615.78083915755099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85-455A-8893-1145011F5BEF}"/>
            </c:ext>
          </c:extLst>
        </c:ser>
        <c:ser>
          <c:idx val="1"/>
          <c:order val="3"/>
          <c:tx>
            <c:strRef>
              <c:f>'PODATKI grafi'!$P$268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grafi'!$Q$268:$U$268</c:f>
              <c:numCache>
                <c:formatCode>0.00</c:formatCode>
                <c:ptCount val="5"/>
                <c:pt idx="0">
                  <c:v>439.89830445818711</c:v>
                </c:pt>
                <c:pt idx="1">
                  <c:v>461.9440054925729</c:v>
                </c:pt>
                <c:pt idx="2">
                  <c:v>519.91163572322341</c:v>
                </c:pt>
                <c:pt idx="3">
                  <c:v>553.889683781587</c:v>
                </c:pt>
                <c:pt idx="4">
                  <c:v>589.48031413765716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E85-455A-8893-1145011F5BEF}"/>
            </c:ext>
          </c:extLst>
        </c:ser>
        <c:ser>
          <c:idx val="2"/>
          <c:order val="4"/>
          <c:tx>
            <c:strRef>
              <c:f>'PODATKI grafi'!$P$269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grafi'!$Q$269:$U$269</c:f>
              <c:numCache>
                <c:formatCode>0.00</c:formatCode>
                <c:ptCount val="5"/>
                <c:pt idx="0">
                  <c:v>391.45181744225425</c:v>
                </c:pt>
                <c:pt idx="1">
                  <c:v>410.92124747889102</c:v>
                </c:pt>
                <c:pt idx="2">
                  <c:v>462.01882171554445</c:v>
                </c:pt>
                <c:pt idx="3">
                  <c:v>491.27370627803504</c:v>
                </c:pt>
                <c:pt idx="4">
                  <c:v>521.50510904930752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85-455A-8893-1145011F5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78752"/>
        <c:axId val="162256512"/>
      </c:lineChart>
      <c:catAx>
        <c:axId val="162380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225593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2255936"/>
        <c:scaling>
          <c:orientation val="minMax"/>
          <c:max val="700"/>
          <c:min val="1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2380800"/>
        <c:crosses val="autoZero"/>
        <c:crossBetween val="midCat"/>
        <c:majorUnit val="100"/>
      </c:valAx>
      <c:catAx>
        <c:axId val="16237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2256512"/>
        <c:crossesAt val="25"/>
        <c:auto val="1"/>
        <c:lblAlgn val="ctr"/>
        <c:lblOffset val="100"/>
        <c:noMultiLvlLbl val="0"/>
      </c:catAx>
      <c:valAx>
        <c:axId val="162256512"/>
        <c:scaling>
          <c:orientation val="minMax"/>
          <c:max val="700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2378752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grafi'!$J$260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grafi'!$Q$260:$U$260</c:f>
              <c:numCache>
                <c:formatCode>0</c:formatCode>
                <c:ptCount val="5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  <c:pt idx="4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B-4FD8-ADF6-14BE4E253BF7}"/>
            </c:ext>
          </c:extLst>
        </c:ser>
        <c:ser>
          <c:idx val="1"/>
          <c:order val="2"/>
          <c:tx>
            <c:strRef>
              <c:f>'PODATKI grafi'!$J$261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grafi'!$Q$261:$U$261</c:f>
              <c:numCache>
                <c:formatCode>0</c:formatCode>
                <c:ptCount val="5"/>
                <c:pt idx="0">
                  <c:v>38459.999999999993</c:v>
                </c:pt>
                <c:pt idx="1">
                  <c:v>35254.999999999993</c:v>
                </c:pt>
                <c:pt idx="2">
                  <c:v>28844.999999999996</c:v>
                </c:pt>
                <c:pt idx="3">
                  <c:v>25639.999999999996</c:v>
                </c:pt>
                <c:pt idx="4">
                  <c:v>22434.999999999996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BB-4FD8-ADF6-14BE4E253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381312"/>
        <c:axId val="162709504"/>
      </c:barChart>
      <c:lineChart>
        <c:grouping val="standard"/>
        <c:varyColors val="0"/>
        <c:ser>
          <c:idx val="2"/>
          <c:order val="1"/>
          <c:tx>
            <c:strRef>
              <c:f>'PODATKI grafi'!$J$273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grafi'!$Q$273:$U$273</c:f>
              <c:numCache>
                <c:formatCode>#,##0.0</c:formatCode>
                <c:ptCount val="5"/>
                <c:pt idx="0">
                  <c:v>25947.130267688957</c:v>
                </c:pt>
                <c:pt idx="1">
                  <c:v>23325.683126422016</c:v>
                </c:pt>
                <c:pt idx="2">
                  <c:v>18119.14731888815</c:v>
                </c:pt>
                <c:pt idx="3">
                  <c:v>15747.101427621212</c:v>
                </c:pt>
                <c:pt idx="4">
                  <c:v>13550.525553269246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BB-4FD8-ADF6-14BE4E253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81312"/>
        <c:axId val="162709504"/>
      </c:lineChart>
      <c:catAx>
        <c:axId val="162381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2709504"/>
        <c:crosses val="autoZero"/>
        <c:auto val="1"/>
        <c:lblAlgn val="ctr"/>
        <c:lblOffset val="100"/>
        <c:noMultiLvlLbl val="0"/>
      </c:catAx>
      <c:valAx>
        <c:axId val="162709504"/>
        <c:scaling>
          <c:orientation val="minMax"/>
          <c:max val="45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2381312"/>
        <c:crosses val="autoZero"/>
        <c:crossBetween val="between"/>
        <c:majorUnit val="50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grafi'!$Q$306:$U$306</c:f>
              <c:numCache>
                <c:formatCode>0.00</c:formatCode>
                <c:ptCount val="5"/>
                <c:pt idx="0">
                  <c:v>474.8301193923503</c:v>
                </c:pt>
                <c:pt idx="1">
                  <c:v>514.50017631983962</c:v>
                </c:pt>
                <c:pt idx="2">
                  <c:v>555.5162633472529</c:v>
                </c:pt>
                <c:pt idx="3">
                  <c:v>610.2343367641987</c:v>
                </c:pt>
                <c:pt idx="4">
                  <c:v>682.16729995104049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0-47F2-BF37-D35E7248C68A}"/>
            </c:ext>
          </c:extLst>
        </c:ser>
        <c:ser>
          <c:idx val="4"/>
          <c:order val="1"/>
          <c:tx>
            <c:strRef>
              <c:f>'PODATKI grafi'!$P$307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grafi'!$Q$307:$U$307</c:f>
              <c:numCache>
                <c:formatCode>0.00</c:formatCode>
                <c:ptCount val="5"/>
                <c:pt idx="0">
                  <c:v>77.548480362262467</c:v>
                </c:pt>
                <c:pt idx="1">
                  <c:v>84.642924452752595</c:v>
                </c:pt>
                <c:pt idx="2">
                  <c:v>93.5250101263332</c:v>
                </c:pt>
                <c:pt idx="3">
                  <c:v>106.65253780583328</c:v>
                </c:pt>
                <c:pt idx="4">
                  <c:v>126.34382932508356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80-47F2-BF37-D35E7248C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944000"/>
        <c:axId val="162711808"/>
      </c:areaChart>
      <c:lineChart>
        <c:grouping val="standard"/>
        <c:varyColors val="0"/>
        <c:ser>
          <c:idx val="5"/>
          <c:order val="5"/>
          <c:tx>
            <c:strRef>
              <c:f>'PODATKI grafi'!$P$309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grafi'!$Q$309:$U$309</c:f>
              <c:numCache>
                <c:formatCode>0.000</c:formatCode>
                <c:ptCount val="5"/>
                <c:pt idx="0">
                  <c:v>1414.0000000000002</c:v>
                </c:pt>
                <c:pt idx="1">
                  <c:v>1414.0000000000002</c:v>
                </c:pt>
                <c:pt idx="2">
                  <c:v>1414.0000000000002</c:v>
                </c:pt>
                <c:pt idx="3">
                  <c:v>1414.0000000000005</c:v>
                </c:pt>
                <c:pt idx="4">
                  <c:v>1414.0000000000002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80-47F2-BF37-D35E7248C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44000"/>
        <c:axId val="162711808"/>
      </c:lineChart>
      <c:lineChart>
        <c:grouping val="standard"/>
        <c:varyColors val="0"/>
        <c:ser>
          <c:idx val="0"/>
          <c:order val="2"/>
          <c:tx>
            <c:strRef>
              <c:f>'PODATKI grafi'!$P$304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grafi'!$Q$304:$U$304</c:f>
              <c:numCache>
                <c:formatCode>0.00</c:formatCode>
                <c:ptCount val="5"/>
                <c:pt idx="0">
                  <c:v>552.37859975461276</c:v>
                </c:pt>
                <c:pt idx="1">
                  <c:v>599.14310077259222</c:v>
                </c:pt>
                <c:pt idx="2">
                  <c:v>649.0412734735861</c:v>
                </c:pt>
                <c:pt idx="3">
                  <c:v>716.88687457003198</c:v>
                </c:pt>
                <c:pt idx="4">
                  <c:v>808.51112927612405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80-47F2-BF37-D35E7248C68A}"/>
            </c:ext>
          </c:extLst>
        </c:ser>
        <c:ser>
          <c:idx val="1"/>
          <c:order val="3"/>
          <c:tx>
            <c:strRef>
              <c:f>'PODATKI grafi'!$P$305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grafi'!$Q$305:$U$305</c:f>
              <c:numCache>
                <c:formatCode>0.00</c:formatCode>
                <c:ptCount val="5"/>
                <c:pt idx="0">
                  <c:v>530.74455093122333</c:v>
                </c:pt>
                <c:pt idx="1">
                  <c:v>575.52988292988096</c:v>
                </c:pt>
                <c:pt idx="2">
                  <c:v>622.95018018807923</c:v>
                </c:pt>
                <c:pt idx="3">
                  <c:v>687.13353576505131</c:v>
                </c:pt>
                <c:pt idx="4">
                  <c:v>773.26442219193257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80-47F2-BF37-D35E7248C68A}"/>
            </c:ext>
          </c:extLst>
        </c:ser>
        <c:ser>
          <c:idx val="2"/>
          <c:order val="4"/>
          <c:tx>
            <c:strRef>
              <c:f>'PODATKI grafi'!$P$306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grafi'!$Q$306:$U$306</c:f>
              <c:numCache>
                <c:formatCode>0.00</c:formatCode>
                <c:ptCount val="5"/>
                <c:pt idx="0">
                  <c:v>474.8301193923503</c:v>
                </c:pt>
                <c:pt idx="1">
                  <c:v>514.50017631983962</c:v>
                </c:pt>
                <c:pt idx="2">
                  <c:v>555.5162633472529</c:v>
                </c:pt>
                <c:pt idx="3">
                  <c:v>610.2343367641987</c:v>
                </c:pt>
                <c:pt idx="4">
                  <c:v>682.16729995104049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E80-47F2-BF37-D35E7248C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92448"/>
        <c:axId val="162712384"/>
      </c:lineChart>
      <c:catAx>
        <c:axId val="162944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271180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271180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2944000"/>
        <c:crosses val="autoZero"/>
        <c:crossBetween val="midCat"/>
      </c:valAx>
      <c:catAx>
        <c:axId val="15639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2712384"/>
        <c:crossesAt val="25"/>
        <c:auto val="1"/>
        <c:lblAlgn val="ctr"/>
        <c:lblOffset val="100"/>
        <c:noMultiLvlLbl val="0"/>
      </c:catAx>
      <c:valAx>
        <c:axId val="162712384"/>
        <c:scaling>
          <c:orientation val="minMax"/>
          <c:max val="16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56392448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334863112871125"/>
          <c:y val="0.23068483747223906"/>
          <c:w val="0.59436614448351188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grafi'!$J$297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grafi'!$Q$297:$U$297</c:f>
              <c:numCache>
                <c:formatCode>0</c:formatCode>
                <c:ptCount val="5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  <c:pt idx="4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B-49D1-B183-45D53F00877E}"/>
            </c:ext>
          </c:extLst>
        </c:ser>
        <c:ser>
          <c:idx val="1"/>
          <c:order val="2"/>
          <c:tx>
            <c:strRef>
              <c:f>'PODATKI grafi'!$J$298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grafi'!$Q$298:$U$298</c:f>
              <c:numCache>
                <c:formatCode>0</c:formatCode>
                <c:ptCount val="5"/>
                <c:pt idx="0">
                  <c:v>56560.000000000007</c:v>
                </c:pt>
                <c:pt idx="1">
                  <c:v>49490.000000000007</c:v>
                </c:pt>
                <c:pt idx="2">
                  <c:v>42420.000000000007</c:v>
                </c:pt>
                <c:pt idx="3">
                  <c:v>35350.000000000007</c:v>
                </c:pt>
                <c:pt idx="4">
                  <c:v>28280.000000000004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5B-49D1-B183-45D53F008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945024"/>
        <c:axId val="162714688"/>
      </c:barChart>
      <c:lineChart>
        <c:grouping val="standard"/>
        <c:varyColors val="0"/>
        <c:ser>
          <c:idx val="2"/>
          <c:order val="1"/>
          <c:tx>
            <c:strRef>
              <c:f>'PODATKI grafi'!$J$310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grafi'!$Q$310:$U$310</c:f>
              <c:numCache>
                <c:formatCode>#,##0.0</c:formatCode>
                <c:ptCount val="5"/>
                <c:pt idx="0">
                  <c:v>46263.419141319464</c:v>
                </c:pt>
                <c:pt idx="1">
                  <c:v>39848.972000052534</c:v>
                </c:pt>
                <c:pt idx="2">
                  <c:v>33745.990153443083</c:v>
                </c:pt>
                <c:pt idx="3">
                  <c:v>27749.541889776141</c:v>
                </c:pt>
                <c:pt idx="4">
                  <c:v>21953.4991189092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5B-49D1-B183-45D53F008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45024"/>
        <c:axId val="162714688"/>
      </c:lineChart>
      <c:catAx>
        <c:axId val="16294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2714688"/>
        <c:crosses val="autoZero"/>
        <c:auto val="1"/>
        <c:lblAlgn val="ctr"/>
        <c:lblOffset val="100"/>
        <c:noMultiLvlLbl val="0"/>
      </c:catAx>
      <c:valAx>
        <c:axId val="1627146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2945024"/>
        <c:crosses val="autoZero"/>
        <c:crossBetween val="between"/>
        <c:majorUnit val="50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grafi'!$Q$340:$U$340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grafi'!$Q$343:$T$343</c:f>
              <c:numCache>
                <c:formatCode>0.00</c:formatCode>
                <c:ptCount val="4"/>
                <c:pt idx="0">
                  <c:v>720.35813376522458</c:v>
                </c:pt>
                <c:pt idx="1">
                  <c:v>791.01066233993436</c:v>
                </c:pt>
                <c:pt idx="2">
                  <c:v>893.02825677187604</c:v>
                </c:pt>
                <c:pt idx="3">
                  <c:v>1065.4824764317273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F-48C9-B152-76F65E3486B0}"/>
            </c:ext>
          </c:extLst>
        </c:ser>
        <c:ser>
          <c:idx val="4"/>
          <c:order val="1"/>
          <c:tx>
            <c:strRef>
              <c:f>'PODATKI grafi'!$P$344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grafi'!$Q$340:$U$340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grafi'!$Q$344:$T$344</c:f>
              <c:numCache>
                <c:formatCode>0.00</c:formatCode>
                <c:ptCount val="4"/>
                <c:pt idx="0">
                  <c:v>113.33495685303058</c:v>
                </c:pt>
                <c:pt idx="1">
                  <c:v>125.85272816668237</c:v>
                </c:pt>
                <c:pt idx="2">
                  <c:v>142.86397046758691</c:v>
                </c:pt>
                <c:pt idx="3">
                  <c:v>173.52473342405187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F-48C9-B152-76F65E348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944512"/>
        <c:axId val="163045952"/>
      </c:areaChart>
      <c:lineChart>
        <c:grouping val="standard"/>
        <c:varyColors val="0"/>
        <c:ser>
          <c:idx val="5"/>
          <c:order val="5"/>
          <c:tx>
            <c:strRef>
              <c:f>'PODATKI grafi'!$P$346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grafi'!$Q$346:$T$346</c:f>
              <c:numCache>
                <c:formatCode>0.000</c:formatCode>
                <c:ptCount val="4"/>
                <c:pt idx="0">
                  <c:v>1671</c:v>
                </c:pt>
                <c:pt idx="1">
                  <c:v>1671</c:v>
                </c:pt>
                <c:pt idx="2">
                  <c:v>1671</c:v>
                </c:pt>
                <c:pt idx="3">
                  <c:v>1671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1F-48C9-B152-76F65E348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44512"/>
        <c:axId val="163045952"/>
      </c:lineChart>
      <c:lineChart>
        <c:grouping val="standard"/>
        <c:varyColors val="0"/>
        <c:ser>
          <c:idx val="0"/>
          <c:order val="2"/>
          <c:tx>
            <c:strRef>
              <c:f>'PODATKI grafi'!$P$341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grafi'!$Q$341:$T$341</c:f>
              <c:numCache>
                <c:formatCode>0.00</c:formatCode>
                <c:ptCount val="4"/>
                <c:pt idx="0">
                  <c:v>833.69309061825516</c:v>
                </c:pt>
                <c:pt idx="1">
                  <c:v>916.86339050661672</c:v>
                </c:pt>
                <c:pt idx="2">
                  <c:v>1035.892227239463</c:v>
                </c:pt>
                <c:pt idx="3">
                  <c:v>1239.0072098557791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1F-48C9-B152-76F65E3486B0}"/>
            </c:ext>
          </c:extLst>
        </c:ser>
        <c:ser>
          <c:idx val="1"/>
          <c:order val="3"/>
          <c:tx>
            <c:strRef>
              <c:f>'PODATKI grafi'!$P$342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grafi'!$Q$342:$T$342</c:f>
              <c:numCache>
                <c:formatCode>0.00</c:formatCode>
                <c:ptCount val="4"/>
                <c:pt idx="0">
                  <c:v>802.07552727592588</c:v>
                </c:pt>
                <c:pt idx="1">
                  <c:v>881.75368812436693</c:v>
                </c:pt>
                <c:pt idx="2">
                  <c:v>996.03682197863873</c:v>
                </c:pt>
                <c:pt idx="3">
                  <c:v>1190.5982334654639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1F-48C9-B152-76F65E3486B0}"/>
            </c:ext>
          </c:extLst>
        </c:ser>
        <c:ser>
          <c:idx val="2"/>
          <c:order val="4"/>
          <c:tx>
            <c:strRef>
              <c:f>'PODATKI grafi'!$P$343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grafi'!$Q$343:$T$343</c:f>
              <c:numCache>
                <c:formatCode>0.00</c:formatCode>
                <c:ptCount val="4"/>
                <c:pt idx="0">
                  <c:v>720.35813376522458</c:v>
                </c:pt>
                <c:pt idx="1">
                  <c:v>791.01066233993436</c:v>
                </c:pt>
                <c:pt idx="2">
                  <c:v>893.02825677187604</c:v>
                </c:pt>
                <c:pt idx="3">
                  <c:v>1065.4824764317273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1F-48C9-B152-76F65E348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05664"/>
        <c:axId val="163046528"/>
      </c:lineChart>
      <c:catAx>
        <c:axId val="16294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304595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3045952"/>
        <c:scaling>
          <c:orientation val="minMax"/>
          <c:min val="2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2944512"/>
        <c:crosses val="autoZero"/>
        <c:crossBetween val="midCat"/>
      </c:valAx>
      <c:catAx>
        <c:axId val="163505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3046528"/>
        <c:crossesAt val="25"/>
        <c:auto val="1"/>
        <c:lblAlgn val="ctr"/>
        <c:lblOffset val="100"/>
        <c:noMultiLvlLbl val="0"/>
      </c:catAx>
      <c:valAx>
        <c:axId val="163046528"/>
        <c:scaling>
          <c:orientation val="minMax"/>
          <c:max val="1800"/>
          <c:min val="2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3505664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9456707049859345"/>
          <c:y val="0.5625215572757715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grafi'!$J$334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grafi'!$Q$334:$T$334</c:f>
              <c:numCache>
                <c:formatCode>0</c:formatCode>
                <c:ptCount val="4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3-4A4B-8F72-476E68972570}"/>
            </c:ext>
          </c:extLst>
        </c:ser>
        <c:ser>
          <c:idx val="1"/>
          <c:order val="2"/>
          <c:tx>
            <c:strRef>
              <c:f>'PODATKI grafi'!$J$335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grafi'!$Q$335:$T$335</c:f>
              <c:numCache>
                <c:formatCode>0</c:formatCode>
                <c:ptCount val="4"/>
                <c:pt idx="0">
                  <c:v>50130</c:v>
                </c:pt>
                <c:pt idx="1">
                  <c:v>41775</c:v>
                </c:pt>
                <c:pt idx="2">
                  <c:v>33420</c:v>
                </c:pt>
                <c:pt idx="3">
                  <c:v>25065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D3-4A4B-8F72-476E68972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504128"/>
        <c:axId val="163048256"/>
      </c:barChart>
      <c:lineChart>
        <c:grouping val="standard"/>
        <c:varyColors val="0"/>
        <c:ser>
          <c:idx val="2"/>
          <c:order val="1"/>
          <c:tx>
            <c:strRef>
              <c:f>'PODATKI grafi'!$J$310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grafi'!$Q$347:$T$347</c:f>
              <c:numCache>
                <c:formatCode>#,##0.0</c:formatCode>
                <c:ptCount val="4"/>
                <c:pt idx="0">
                  <c:v>38738.35239348832</c:v>
                </c:pt>
                <c:pt idx="1">
                  <c:v>31810.564867945919</c:v>
                </c:pt>
                <c:pt idx="2">
                  <c:v>24880.10300646297</c:v>
                </c:pt>
                <c:pt idx="3">
                  <c:v>17993.286941565049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D3-4A4B-8F72-476E68972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04128"/>
        <c:axId val="163048256"/>
      </c:lineChart>
      <c:catAx>
        <c:axId val="16350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33801437115442534"/>
              <c:y val="0.7821383041405538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63048256"/>
        <c:crosses val="autoZero"/>
        <c:auto val="1"/>
        <c:lblAlgn val="ctr"/>
        <c:lblOffset val="100"/>
        <c:noMultiLvlLbl val="0"/>
      </c:catAx>
      <c:valAx>
        <c:axId val="163048256"/>
        <c:scaling>
          <c:orientation val="minMax"/>
          <c:max val="45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3504128"/>
        <c:crosses val="autoZero"/>
        <c:crossBetween val="between"/>
        <c:majorUnit val="50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grafi'!$Q$380:$V$380</c:f>
              <c:numCache>
                <c:formatCode>0.00</c:formatCode>
                <c:ptCount val="6"/>
                <c:pt idx="0">
                  <c:v>845.04751653070616</c:v>
                </c:pt>
                <c:pt idx="1">
                  <c:v>982.03774632188617</c:v>
                </c:pt>
                <c:pt idx="2">
                  <c:v>1175.1949636354104</c:v>
                </c:pt>
                <c:pt idx="3">
                  <c:v>1309.4394485948826</c:v>
                </c:pt>
                <c:pt idx="4">
                  <c:v>1029.3948166584416</c:v>
                </c:pt>
                <c:pt idx="5">
                  <c:v>1135.2965806256577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D-4C10-AD9B-71D9E1BD06D4}"/>
            </c:ext>
          </c:extLst>
        </c:ser>
        <c:ser>
          <c:idx val="4"/>
          <c:order val="1"/>
          <c:tx>
            <c:strRef>
              <c:f>'PODATKI grafi'!$P$381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grafi'!$Q$381:$V$381</c:f>
              <c:numCache>
                <c:formatCode>0.00</c:formatCode>
                <c:ptCount val="6"/>
                <c:pt idx="0">
                  <c:v>169.48860626791588</c:v>
                </c:pt>
                <c:pt idx="1">
                  <c:v>197.02397112053552</c:v>
                </c:pt>
                <c:pt idx="2">
                  <c:v>238.21349344696273</c:v>
                </c:pt>
                <c:pt idx="3">
                  <c:v>267.6812087901842</c:v>
                </c:pt>
                <c:pt idx="4">
                  <c:v>215.15480396002158</c:v>
                </c:pt>
                <c:pt idx="5">
                  <c:v>237.9849808400586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D-4C10-AD9B-71D9E1BD0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295232"/>
        <c:axId val="163050560"/>
      </c:areaChart>
      <c:lineChart>
        <c:grouping val="standard"/>
        <c:varyColors val="0"/>
        <c:ser>
          <c:idx val="5"/>
          <c:order val="5"/>
          <c:tx>
            <c:strRef>
              <c:f>'PODATKI grafi'!$P$383</c:f>
              <c:strCache>
                <c:ptCount val="1"/>
                <c:pt idx="0">
                  <c:v>Odkupna cena; ocena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grafi'!$Q$383:$V$383</c:f>
              <c:numCache>
                <c:formatCode>0.000</c:formatCode>
                <c:ptCount val="6"/>
                <c:pt idx="0">
                  <c:v>690</c:v>
                </c:pt>
                <c:pt idx="1">
                  <c:v>690</c:v>
                </c:pt>
                <c:pt idx="2">
                  <c:v>690</c:v>
                </c:pt>
                <c:pt idx="3">
                  <c:v>690</c:v>
                </c:pt>
                <c:pt idx="4">
                  <c:v>690</c:v>
                </c:pt>
                <c:pt idx="5">
                  <c:v>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2D-4C10-AD9B-71D9E1BD0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95232"/>
        <c:axId val="163050560"/>
      </c:lineChart>
      <c:lineChart>
        <c:grouping val="standard"/>
        <c:varyColors val="0"/>
        <c:ser>
          <c:idx val="0"/>
          <c:order val="2"/>
          <c:tx>
            <c:strRef>
              <c:f>'PODATKI grafi'!$P$378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grafi'!$Q$378:$V$378</c:f>
              <c:numCache>
                <c:formatCode>0.00</c:formatCode>
                <c:ptCount val="6"/>
                <c:pt idx="0">
                  <c:v>1014.536122798622</c:v>
                </c:pt>
                <c:pt idx="1">
                  <c:v>1179.0617174424217</c:v>
                </c:pt>
                <c:pt idx="2">
                  <c:v>1413.4084570823732</c:v>
                </c:pt>
                <c:pt idx="3">
                  <c:v>1577.1206573850668</c:v>
                </c:pt>
                <c:pt idx="4">
                  <c:v>1244.5496206184632</c:v>
                </c:pt>
                <c:pt idx="5">
                  <c:v>1373.2815614657163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2D-4C10-AD9B-71D9E1BD06D4}"/>
            </c:ext>
          </c:extLst>
        </c:ser>
        <c:ser>
          <c:idx val="1"/>
          <c:order val="3"/>
          <c:tx>
            <c:strRef>
              <c:f>'PODATKI grafi'!$P$379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grafi'!$Q$379:$V$379</c:f>
              <c:numCache>
                <c:formatCode>0.00</c:formatCode>
                <c:ptCount val="6"/>
                <c:pt idx="0">
                  <c:v>967.25312297864525</c:v>
                </c:pt>
                <c:pt idx="1">
                  <c:v>1124.0970528779053</c:v>
                </c:pt>
                <c:pt idx="2">
                  <c:v>1346.9529659683317</c:v>
                </c:pt>
                <c:pt idx="3">
                  <c:v>1502.4444250073545</c:v>
                </c:pt>
                <c:pt idx="4">
                  <c:v>1184.5269159605004</c:v>
                </c:pt>
                <c:pt idx="5">
                  <c:v>1306.8898195427798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C2D-4C10-AD9B-71D9E1BD06D4}"/>
            </c:ext>
          </c:extLst>
        </c:ser>
        <c:ser>
          <c:idx val="2"/>
          <c:order val="4"/>
          <c:tx>
            <c:strRef>
              <c:f>'PODATKI grafi'!$P$380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grafi'!$Q$380:$V$380</c:f>
              <c:numCache>
                <c:formatCode>0.00</c:formatCode>
                <c:ptCount val="6"/>
                <c:pt idx="0">
                  <c:v>845.04751653070616</c:v>
                </c:pt>
                <c:pt idx="1">
                  <c:v>982.03774632188617</c:v>
                </c:pt>
                <c:pt idx="2">
                  <c:v>1175.1949636354104</c:v>
                </c:pt>
                <c:pt idx="3">
                  <c:v>1309.4394485948826</c:v>
                </c:pt>
                <c:pt idx="4">
                  <c:v>1029.3948166584416</c:v>
                </c:pt>
                <c:pt idx="5">
                  <c:v>1135.2965806256577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2D-4C10-AD9B-71D9E1BD0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95744"/>
        <c:axId val="163051136"/>
      </c:lineChart>
      <c:catAx>
        <c:axId val="163295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 b="0" i="0" u="none" strike="noStrike" baseline="0">
                    <a:effectLst/>
                  </a:rPr>
                  <a:t>Število trsov (kos/ha)</a:t>
                </a:r>
                <a:r>
                  <a:rPr lang="sl-SI" sz="1000"/>
                  <a:t>; Pridelek na trs (kg/kos)</a:t>
                </a:r>
                <a:r>
                  <a:rPr lang="sl-SI" sz="1000" baseline="0"/>
                  <a:t> </a:t>
                </a:r>
                <a:endParaRPr lang="sl-SI" sz="1000"/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305056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305056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3295232"/>
        <c:crosses val="autoZero"/>
        <c:crossBetween val="midCat"/>
        <c:majorUnit val="200"/>
      </c:valAx>
      <c:catAx>
        <c:axId val="16329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3051136"/>
        <c:crossesAt val="25"/>
        <c:auto val="1"/>
        <c:lblAlgn val="ctr"/>
        <c:lblOffset val="100"/>
        <c:noMultiLvlLbl val="0"/>
      </c:catAx>
      <c:valAx>
        <c:axId val="16305113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3295744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6.2495810052179704E-2"/>
          <c:w val="0.74275364227363916"/>
          <c:h val="0.61120715365957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grafi'!$J$371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grafi'!$Q$371:$V$371</c:f>
              <c:numCache>
                <c:formatCode>0</c:formatCode>
                <c:ptCount val="6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  <c:pt idx="4">
                  <c:v>23.94</c:v>
                </c:pt>
                <c:pt idx="5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7-4E14-9D9E-B02DAEDD7E3E}"/>
            </c:ext>
          </c:extLst>
        </c:ser>
        <c:ser>
          <c:idx val="1"/>
          <c:order val="2"/>
          <c:tx>
            <c:strRef>
              <c:f>'PODATKI grafi'!$J$372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grafi'!$Q$372:$V$372</c:f>
              <c:numCache>
                <c:formatCode>0</c:formatCode>
                <c:ptCount val="6"/>
                <c:pt idx="0">
                  <c:v>8280</c:v>
                </c:pt>
                <c:pt idx="1">
                  <c:v>6899.9999999999991</c:v>
                </c:pt>
                <c:pt idx="2">
                  <c:v>5520</c:v>
                </c:pt>
                <c:pt idx="3">
                  <c:v>4830</c:v>
                </c:pt>
                <c:pt idx="4">
                  <c:v>6986.2499999999991</c:v>
                </c:pt>
                <c:pt idx="5">
                  <c:v>6209.9999999999991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C7-4E14-9D9E-B02DAEDD7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296768"/>
        <c:axId val="163052864"/>
      </c:barChart>
      <c:lineChart>
        <c:grouping val="standard"/>
        <c:varyColors val="0"/>
        <c:ser>
          <c:idx val="2"/>
          <c:order val="1"/>
          <c:tx>
            <c:strRef>
              <c:f>'PODATKI grafi'!$J$384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grafi'!$Q$384:$V$384</c:f>
              <c:numCache>
                <c:formatCode>#,##0.0</c:formatCode>
                <c:ptCount val="6"/>
                <c:pt idx="0">
                  <c:v>3597.646208020722</c:v>
                </c:pt>
                <c:pt idx="1">
                  <c:v>2433.6194721472775</c:v>
                </c:pt>
                <c:pt idx="2">
                  <c:v>1365.2937190621824</c:v>
                </c:pt>
                <c:pt idx="3">
                  <c:v>857.56878651030274</c:v>
                </c:pt>
                <c:pt idx="4">
                  <c:v>2352.2829472173253</c:v>
                </c:pt>
                <c:pt idx="5">
                  <c:v>1720.5014166167921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7-4E14-9D9E-B02DAEDD7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96768"/>
        <c:axId val="163052864"/>
      </c:lineChart>
      <c:catAx>
        <c:axId val="16329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sl-SI" sz="1000" b="0"/>
                  <a:t>Število</a:t>
                </a:r>
                <a:r>
                  <a:rPr lang="sl-SI" sz="1000" b="0" baseline="0"/>
                  <a:t> trsov (kos/ha</a:t>
                </a:r>
                <a:r>
                  <a:rPr lang="en-US" sz="1000" b="0"/>
                  <a:t>); </a:t>
                </a:r>
                <a:r>
                  <a:rPr lang="sl-SI" sz="1000" b="0"/>
                  <a:t>Pridelek</a:t>
                </a:r>
                <a:r>
                  <a:rPr lang="sl-SI" sz="1000" b="0" baseline="0"/>
                  <a:t> na trs (kg/kos)</a:t>
                </a:r>
                <a:endParaRPr lang="en-US" sz="1000" b="0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3052864"/>
        <c:crosses val="autoZero"/>
        <c:auto val="1"/>
        <c:lblAlgn val="ctr"/>
        <c:lblOffset val="100"/>
        <c:noMultiLvlLbl val="0"/>
      </c:catAx>
      <c:valAx>
        <c:axId val="163052864"/>
        <c:scaling>
          <c:orientation val="minMax"/>
          <c:max val="9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3296768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grafi'!$Q$417:$V$417</c:f>
              <c:numCache>
                <c:formatCode>0.00</c:formatCode>
                <c:ptCount val="6"/>
                <c:pt idx="0">
                  <c:v>739.75642877812538</c:v>
                </c:pt>
                <c:pt idx="1">
                  <c:v>858.52950059719831</c:v>
                </c:pt>
                <c:pt idx="2">
                  <c:v>935.09771637927713</c:v>
                </c:pt>
                <c:pt idx="3">
                  <c:v>1029.7063576774945</c:v>
                </c:pt>
                <c:pt idx="4">
                  <c:v>966.42974758626156</c:v>
                </c:pt>
                <c:pt idx="5">
                  <c:v>903.76568517229282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80-46BD-A89B-0DA94AAD2720}"/>
            </c:ext>
          </c:extLst>
        </c:ser>
        <c:ser>
          <c:idx val="4"/>
          <c:order val="1"/>
          <c:tx>
            <c:strRef>
              <c:f>'PODATKI grafi'!$P$418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grafi'!$Q$418:$V$418</c:f>
              <c:numCache>
                <c:formatCode>0.00</c:formatCode>
                <c:ptCount val="6"/>
                <c:pt idx="0">
                  <c:v>123.6341495796039</c:v>
                </c:pt>
                <c:pt idx="1">
                  <c:v>143.54359958972111</c:v>
                </c:pt>
                <c:pt idx="2">
                  <c:v>156.72984453197489</c:v>
                </c:pt>
                <c:pt idx="3">
                  <c:v>173.29424965239468</c:v>
                </c:pt>
                <c:pt idx="4">
                  <c:v>168.21451661653987</c:v>
                </c:pt>
                <c:pt idx="5">
                  <c:v>145.24517244740957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80-46BD-A89B-0DA94AAD2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864576"/>
        <c:axId val="163399360"/>
      </c:areaChart>
      <c:lineChart>
        <c:grouping val="standard"/>
        <c:varyColors val="0"/>
        <c:ser>
          <c:idx val="5"/>
          <c:order val="5"/>
          <c:tx>
            <c:strRef>
              <c:f>'PODATKI grafi'!$P$420</c:f>
              <c:strCache>
                <c:ptCount val="1"/>
                <c:pt idx="0">
                  <c:v>Odkupna cena; ocena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grafi'!$Q$420:$V$420</c:f>
              <c:numCache>
                <c:formatCode>0.000</c:formatCode>
                <c:ptCount val="6"/>
                <c:pt idx="0">
                  <c:v>820</c:v>
                </c:pt>
                <c:pt idx="1">
                  <c:v>820</c:v>
                </c:pt>
                <c:pt idx="2">
                  <c:v>820</c:v>
                </c:pt>
                <c:pt idx="3">
                  <c:v>820</c:v>
                </c:pt>
                <c:pt idx="4">
                  <c:v>820</c:v>
                </c:pt>
                <c:pt idx="5">
                  <c:v>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80-46BD-A89B-0DA94AAD2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864576"/>
        <c:axId val="163399360"/>
      </c:lineChart>
      <c:lineChart>
        <c:grouping val="standard"/>
        <c:varyColors val="0"/>
        <c:ser>
          <c:idx val="0"/>
          <c:order val="2"/>
          <c:tx>
            <c:strRef>
              <c:f>'PODATKI grafi'!$P$415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grafi'!$Q$415:$V$415</c:f>
              <c:numCache>
                <c:formatCode>0.00</c:formatCode>
                <c:ptCount val="6"/>
                <c:pt idx="0">
                  <c:v>863.39057835772928</c:v>
                </c:pt>
                <c:pt idx="1">
                  <c:v>1002.0731001869194</c:v>
                </c:pt>
                <c:pt idx="2">
                  <c:v>1091.827560911252</c:v>
                </c:pt>
                <c:pt idx="3">
                  <c:v>1203.0006073298891</c:v>
                </c:pt>
                <c:pt idx="4">
                  <c:v>1134.6442642028014</c:v>
                </c:pt>
                <c:pt idx="5">
                  <c:v>1049.0108576197024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80-46BD-A89B-0DA94AAD2720}"/>
            </c:ext>
          </c:extLst>
        </c:ser>
        <c:ser>
          <c:idx val="1"/>
          <c:order val="3"/>
          <c:tx>
            <c:strRef>
              <c:f>'PODATKI grafi'!$P$416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grafi'!$Q$416:$V$416</c:f>
              <c:numCache>
                <c:formatCode>0.00</c:formatCode>
                <c:ptCount val="6"/>
                <c:pt idx="0">
                  <c:v>828.89980283577609</c:v>
                </c:pt>
                <c:pt idx="1">
                  <c:v>962.02809572903334</c:v>
                </c:pt>
                <c:pt idx="2">
                  <c:v>1048.1039303146554</c:v>
                </c:pt>
                <c:pt idx="3">
                  <c:v>1154.6559300353879</c:v>
                </c:pt>
                <c:pt idx="4">
                  <c:v>1087.7167029110135</c:v>
                </c:pt>
                <c:pt idx="5">
                  <c:v>1008.4911577182974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80-46BD-A89B-0DA94AAD2720}"/>
            </c:ext>
          </c:extLst>
        </c:ser>
        <c:ser>
          <c:idx val="2"/>
          <c:order val="4"/>
          <c:tx>
            <c:strRef>
              <c:f>'PODATKI grafi'!$P$417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grafi'!$Q$417:$V$417</c:f>
              <c:numCache>
                <c:formatCode>0.00</c:formatCode>
                <c:ptCount val="6"/>
                <c:pt idx="0">
                  <c:v>739.75642877812538</c:v>
                </c:pt>
                <c:pt idx="1">
                  <c:v>858.52950059719831</c:v>
                </c:pt>
                <c:pt idx="2">
                  <c:v>935.09771637927713</c:v>
                </c:pt>
                <c:pt idx="3">
                  <c:v>1029.7063576774945</c:v>
                </c:pt>
                <c:pt idx="4">
                  <c:v>966.42974758626156</c:v>
                </c:pt>
                <c:pt idx="5">
                  <c:v>903.76568517229282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80-46BD-A89B-0DA94AAD2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865088"/>
        <c:axId val="163399936"/>
      </c:lineChart>
      <c:catAx>
        <c:axId val="16386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 b="0" i="0" u="none" strike="noStrike" baseline="0">
                    <a:effectLst/>
                  </a:rPr>
                  <a:t>Število trsov (kos/ha)</a:t>
                </a:r>
                <a:r>
                  <a:rPr lang="sl-SI" sz="1000"/>
                  <a:t>; Pridelek na trs (kg/kos)</a:t>
                </a:r>
                <a:r>
                  <a:rPr lang="sl-SI" sz="1000" baseline="0"/>
                  <a:t> </a:t>
                </a:r>
                <a:endParaRPr lang="sl-SI" sz="1000"/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339936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339936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3864576"/>
        <c:crosses val="autoZero"/>
        <c:crossBetween val="midCat"/>
        <c:majorUnit val="200"/>
      </c:valAx>
      <c:catAx>
        <c:axId val="163865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3399936"/>
        <c:crossesAt val="25"/>
        <c:auto val="1"/>
        <c:lblAlgn val="ctr"/>
        <c:lblOffset val="100"/>
        <c:noMultiLvlLbl val="0"/>
      </c:catAx>
      <c:valAx>
        <c:axId val="16339993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3865088"/>
        <c:crosses val="max"/>
        <c:crossBetween val="midCat"/>
        <c:majorUnit val="200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5669057625777392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grafi'!$J$75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grafi'!$Q$75:$V$75</c:f>
              <c:numCache>
                <c:formatCode>0.0</c:formatCode>
                <c:ptCount val="6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  <c:pt idx="4">
                  <c:v>23.94</c:v>
                </c:pt>
                <c:pt idx="5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7-49DB-9C21-DC7F9F2D5A62}"/>
            </c:ext>
          </c:extLst>
        </c:ser>
        <c:ser>
          <c:idx val="1"/>
          <c:order val="2"/>
          <c:tx>
            <c:strRef>
              <c:f>'PODATKI grafi'!$J$76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grafi'!$Q$76:$V$76</c:f>
              <c:numCache>
                <c:formatCode>0</c:formatCode>
                <c:ptCount val="6"/>
                <c:pt idx="0">
                  <c:v>1281</c:v>
                </c:pt>
                <c:pt idx="1">
                  <c:v>1189.5</c:v>
                </c:pt>
                <c:pt idx="2">
                  <c:v>1098</c:v>
                </c:pt>
                <c:pt idx="3">
                  <c:v>1006.5</c:v>
                </c:pt>
                <c:pt idx="4">
                  <c:v>915</c:v>
                </c:pt>
                <c:pt idx="5">
                  <c:v>1098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D7-49DB-9C21-DC7F9F2D5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389376"/>
        <c:axId val="107739328"/>
      </c:barChart>
      <c:lineChart>
        <c:grouping val="standard"/>
        <c:varyColors val="0"/>
        <c:ser>
          <c:idx val="2"/>
          <c:order val="1"/>
          <c:tx>
            <c:strRef>
              <c:f>'PODATKI grafi'!$J$88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grafi'!$Q$88:$V$88</c:f>
              <c:numCache>
                <c:formatCode>#,##0.0</c:formatCode>
                <c:ptCount val="6"/>
                <c:pt idx="0">
                  <c:v>-228.36196619336511</c:v>
                </c:pt>
                <c:pt idx="1">
                  <c:v>-246.15060583105173</c:v>
                </c:pt>
                <c:pt idx="2">
                  <c:v>-245.21242504531233</c:v>
                </c:pt>
                <c:pt idx="3">
                  <c:v>-287.37646316099995</c:v>
                </c:pt>
                <c:pt idx="4">
                  <c:v>-319.31236533475635</c:v>
                </c:pt>
                <c:pt idx="5">
                  <c:v>-217.76539877675577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D7-49DB-9C21-DC7F9F2D5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89376"/>
        <c:axId val="107739328"/>
      </c:lineChart>
      <c:catAx>
        <c:axId val="156389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107739328"/>
        <c:crosses val="autoZero"/>
        <c:auto val="1"/>
        <c:lblAlgn val="ctr"/>
        <c:lblOffset val="100"/>
        <c:noMultiLvlLbl val="0"/>
      </c:catAx>
      <c:valAx>
        <c:axId val="107739328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56389376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7.5053652001365018E-2"/>
          <c:w val="0.74275364227363916"/>
          <c:h val="0.598649157619342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grafi'!$J$408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grafi'!$Q$408:$V$408</c:f>
              <c:numCache>
                <c:formatCode>0</c:formatCode>
                <c:ptCount val="6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  <c:pt idx="4">
                  <c:v>23.94</c:v>
                </c:pt>
                <c:pt idx="5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C-4A10-93C0-82F6E997CEF7}"/>
            </c:ext>
          </c:extLst>
        </c:ser>
        <c:ser>
          <c:idx val="1"/>
          <c:order val="2"/>
          <c:tx>
            <c:strRef>
              <c:f>'PODATKI grafi'!$J$409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grafi'!$Q$409:$V$409</c:f>
              <c:numCache>
                <c:formatCode>0</c:formatCode>
                <c:ptCount val="6"/>
                <c:pt idx="0">
                  <c:v>9840</c:v>
                </c:pt>
                <c:pt idx="1">
                  <c:v>8200</c:v>
                </c:pt>
                <c:pt idx="2">
                  <c:v>7380</c:v>
                </c:pt>
                <c:pt idx="3">
                  <c:v>6560</c:v>
                </c:pt>
                <c:pt idx="4">
                  <c:v>7380</c:v>
                </c:pt>
                <c:pt idx="5">
                  <c:v>7380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AC-4A10-93C0-82F6E997C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865600"/>
        <c:axId val="163402240"/>
      </c:barChart>
      <c:lineChart>
        <c:grouping val="standard"/>
        <c:varyColors val="0"/>
        <c:ser>
          <c:idx val="2"/>
          <c:order val="1"/>
          <c:tx>
            <c:strRef>
              <c:f>'PODATKI grafi'!$J$421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grafi'!$Q$421:$V$421</c:f>
              <c:numCache>
                <c:formatCode>#,##0.0</c:formatCode>
                <c:ptCount val="6"/>
                <c:pt idx="0">
                  <c:v>5675.7921025257674</c:v>
                </c:pt>
                <c:pt idx="1">
                  <c:v>4238.9719804057786</c:v>
                </c:pt>
                <c:pt idx="2">
                  <c:v>3542.2158467492859</c:v>
                </c:pt>
                <c:pt idx="3">
                  <c:v>2855.6330490741339</c:v>
                </c:pt>
                <c:pt idx="4">
                  <c:v>3479.3836959231194</c:v>
                </c:pt>
                <c:pt idx="5">
                  <c:v>3605.0479975754515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AC-4A10-93C0-82F6E997C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865600"/>
        <c:axId val="163402240"/>
      </c:lineChart>
      <c:catAx>
        <c:axId val="16386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sl-SI" sz="1000" b="0"/>
                  <a:t>Število trsov (kos/ha)</a:t>
                </a:r>
                <a:r>
                  <a:rPr lang="en-US" sz="1000" b="0"/>
                  <a:t>; </a:t>
                </a:r>
                <a:r>
                  <a:rPr lang="sl-SI" sz="1000" b="0"/>
                  <a:t>Pridelek </a:t>
                </a:r>
                <a:r>
                  <a:rPr lang="en-US" sz="1000" b="0"/>
                  <a:t>(</a:t>
                </a:r>
                <a:r>
                  <a:rPr lang="sl-SI" sz="1000" b="0"/>
                  <a:t>kg/kos</a:t>
                </a:r>
                <a:r>
                  <a:rPr lang="en-US" sz="1000" b="0"/>
                  <a:t>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3402240"/>
        <c:crosses val="autoZero"/>
        <c:auto val="1"/>
        <c:lblAlgn val="ctr"/>
        <c:lblOffset val="100"/>
        <c:noMultiLvlLbl val="0"/>
      </c:catAx>
      <c:valAx>
        <c:axId val="163402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3865600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grafi'!$Q$84:$V$84</c:f>
              <c:numCache>
                <c:formatCode>0.00</c:formatCode>
                <c:ptCount val="6"/>
                <c:pt idx="0">
                  <c:v>275.03048204703873</c:v>
                </c:pt>
                <c:pt idx="1">
                  <c:v>283.64592024922479</c:v>
                </c:pt>
                <c:pt idx="2">
                  <c:v>288.30985789659354</c:v>
                </c:pt>
                <c:pt idx="3">
                  <c:v>303.4146412375211</c:v>
                </c:pt>
                <c:pt idx="4">
                  <c:v>318.60803854862428</c:v>
                </c:pt>
                <c:pt idx="5">
                  <c:v>275.92261037227684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1-4E6C-AE91-737B3AE14FF6}"/>
            </c:ext>
          </c:extLst>
        </c:ser>
        <c:ser>
          <c:idx val="4"/>
          <c:order val="1"/>
          <c:tx>
            <c:strRef>
              <c:f>'PODATKI grafi'!$P$85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grafi'!$Q$85:$V$85</c:f>
              <c:numCache>
                <c:formatCode>0.00</c:formatCode>
                <c:ptCount val="6"/>
                <c:pt idx="0">
                  <c:v>23.812371534079091</c:v>
                </c:pt>
                <c:pt idx="1">
                  <c:v>24.887824619393427</c:v>
                </c:pt>
                <c:pt idx="2">
                  <c:v>25.163427757281738</c:v>
                </c:pt>
                <c:pt idx="3">
                  <c:v>26.245809838274226</c:v>
                </c:pt>
                <c:pt idx="4">
                  <c:v>27.056337691442877</c:v>
                </c:pt>
                <c:pt idx="5">
                  <c:v>22.339183598792658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E1-4E6C-AE91-737B3AE14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403200"/>
        <c:axId val="107736448"/>
      </c:areaChart>
      <c:lineChart>
        <c:grouping val="standard"/>
        <c:varyColors val="0"/>
        <c:ser>
          <c:idx val="5"/>
          <c:order val="5"/>
          <c:tx>
            <c:strRef>
              <c:f>'PODATKI grafi'!$P$87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grafi'!$Q$87:$V$87</c:f>
              <c:numCache>
                <c:formatCode>0.000</c:formatCode>
                <c:ptCount val="6"/>
                <c:pt idx="0">
                  <c:v>183</c:v>
                </c:pt>
                <c:pt idx="1">
                  <c:v>183</c:v>
                </c:pt>
                <c:pt idx="2">
                  <c:v>183</c:v>
                </c:pt>
                <c:pt idx="3">
                  <c:v>183</c:v>
                </c:pt>
                <c:pt idx="4">
                  <c:v>183</c:v>
                </c:pt>
                <c:pt idx="5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E1-4E6C-AE91-737B3AE14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03200"/>
        <c:axId val="107736448"/>
      </c:lineChart>
      <c:lineChart>
        <c:grouping val="standard"/>
        <c:varyColors val="0"/>
        <c:ser>
          <c:idx val="0"/>
          <c:order val="2"/>
          <c:tx>
            <c:strRef>
              <c:f>'PODATKI grafi'!$P$82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grafi'!$Q$82:$V$82</c:f>
              <c:numCache>
                <c:formatCode>0.00</c:formatCode>
                <c:ptCount val="6"/>
                <c:pt idx="0">
                  <c:v>298.84285358111782</c:v>
                </c:pt>
                <c:pt idx="1">
                  <c:v>308.53374486861821</c:v>
                </c:pt>
                <c:pt idx="2">
                  <c:v>313.47328565387528</c:v>
                </c:pt>
                <c:pt idx="3">
                  <c:v>329.66045107579532</c:v>
                </c:pt>
                <c:pt idx="4">
                  <c:v>345.66437624006716</c:v>
                </c:pt>
                <c:pt idx="5">
                  <c:v>298.26179397106949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E1-4E6C-AE91-737B3AE14FF6}"/>
            </c:ext>
          </c:extLst>
        </c:ser>
        <c:ser>
          <c:idx val="1"/>
          <c:order val="3"/>
          <c:tx>
            <c:strRef>
              <c:f>'PODATKI grafi'!$P$83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grafi'!$Q$83:$V$83</c:f>
              <c:numCache>
                <c:formatCode>0.00</c:formatCode>
                <c:ptCount val="6"/>
                <c:pt idx="0">
                  <c:v>292.1998090499751</c:v>
                </c:pt>
                <c:pt idx="1">
                  <c:v>301.59067634672459</c:v>
                </c:pt>
                <c:pt idx="2">
                  <c:v>306.45333088336525</c:v>
                </c:pt>
                <c:pt idx="3">
                  <c:v>322.33853930140378</c:v>
                </c:pt>
                <c:pt idx="4">
                  <c:v>338.11634786008574</c:v>
                </c:pt>
                <c:pt idx="5">
                  <c:v>292.02973131306129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E1-4E6C-AE91-737B3AE14FF6}"/>
            </c:ext>
          </c:extLst>
        </c:ser>
        <c:ser>
          <c:idx val="2"/>
          <c:order val="4"/>
          <c:tx>
            <c:strRef>
              <c:f>'PODATKI grafi'!$P$84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grafi'!$Q$84:$V$84</c:f>
              <c:numCache>
                <c:formatCode>0.00</c:formatCode>
                <c:ptCount val="6"/>
                <c:pt idx="0">
                  <c:v>275.03048204703873</c:v>
                </c:pt>
                <c:pt idx="1">
                  <c:v>283.64592024922479</c:v>
                </c:pt>
                <c:pt idx="2">
                  <c:v>288.30985789659354</c:v>
                </c:pt>
                <c:pt idx="3">
                  <c:v>303.4146412375211</c:v>
                </c:pt>
                <c:pt idx="4">
                  <c:v>318.60803854862428</c:v>
                </c:pt>
                <c:pt idx="5">
                  <c:v>275.92261037227684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E1-4E6C-AE91-737B3AE14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03712"/>
        <c:axId val="107737024"/>
      </c:lineChart>
      <c:catAx>
        <c:axId val="156403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0773644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07736448"/>
        <c:scaling>
          <c:orientation val="minMax"/>
          <c:max val="225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56403200"/>
        <c:crosses val="autoZero"/>
        <c:crossBetween val="midCat"/>
        <c:majorUnit val="25"/>
      </c:valAx>
      <c:catAx>
        <c:axId val="15640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737024"/>
        <c:crossesAt val="25"/>
        <c:auto val="1"/>
        <c:lblAlgn val="ctr"/>
        <c:lblOffset val="100"/>
        <c:noMultiLvlLbl val="0"/>
      </c:catAx>
      <c:valAx>
        <c:axId val="107737024"/>
        <c:scaling>
          <c:orientation val="minMax"/>
          <c:max val="225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56403712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5669057625777392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grafi'!$J$75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grafi'!$Q$75:$V$75</c:f>
              <c:numCache>
                <c:formatCode>0.0</c:formatCode>
                <c:ptCount val="6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  <c:pt idx="4">
                  <c:v>23.94</c:v>
                </c:pt>
                <c:pt idx="5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6-4653-AFD9-7962FB7AABFF}"/>
            </c:ext>
          </c:extLst>
        </c:ser>
        <c:ser>
          <c:idx val="1"/>
          <c:order val="2"/>
          <c:tx>
            <c:strRef>
              <c:f>'PODATKI grafi'!$J$76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grafi'!$Q$76:$V$76</c:f>
              <c:numCache>
                <c:formatCode>0</c:formatCode>
                <c:ptCount val="6"/>
                <c:pt idx="0">
                  <c:v>1281</c:v>
                </c:pt>
                <c:pt idx="1">
                  <c:v>1189.5</c:v>
                </c:pt>
                <c:pt idx="2">
                  <c:v>1098</c:v>
                </c:pt>
                <c:pt idx="3">
                  <c:v>1006.5</c:v>
                </c:pt>
                <c:pt idx="4">
                  <c:v>915</c:v>
                </c:pt>
                <c:pt idx="5">
                  <c:v>1098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6-4653-AFD9-7962FB7AA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389376"/>
        <c:axId val="107739328"/>
      </c:barChart>
      <c:lineChart>
        <c:grouping val="standard"/>
        <c:varyColors val="0"/>
        <c:ser>
          <c:idx val="2"/>
          <c:order val="1"/>
          <c:tx>
            <c:strRef>
              <c:f>'PODATKI grafi'!$J$88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grafi'!$Q$88:$V$88</c:f>
              <c:numCache>
                <c:formatCode>#,##0.0</c:formatCode>
                <c:ptCount val="6"/>
                <c:pt idx="0">
                  <c:v>-228.36196619336511</c:v>
                </c:pt>
                <c:pt idx="1">
                  <c:v>-246.15060583105173</c:v>
                </c:pt>
                <c:pt idx="2">
                  <c:v>-245.21242504531233</c:v>
                </c:pt>
                <c:pt idx="3">
                  <c:v>-287.37646316099995</c:v>
                </c:pt>
                <c:pt idx="4">
                  <c:v>-319.31236533475635</c:v>
                </c:pt>
                <c:pt idx="5">
                  <c:v>-217.76539877675577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56-4653-AFD9-7962FB7AA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89376"/>
        <c:axId val="107739328"/>
      </c:lineChart>
      <c:catAx>
        <c:axId val="156389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7739328"/>
        <c:crosses val="autoZero"/>
        <c:auto val="1"/>
        <c:lblAlgn val="ctr"/>
        <c:lblOffset val="100"/>
        <c:noMultiLvlLbl val="0"/>
      </c:catAx>
      <c:valAx>
        <c:axId val="1077393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56389376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282112022832679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grafi'!$Q$121:$V$121</c:f>
              <c:numCache>
                <c:formatCode>0.00</c:formatCode>
                <c:ptCount val="6"/>
                <c:pt idx="0">
                  <c:v>275.33478927202032</c:v>
                </c:pt>
                <c:pt idx="1">
                  <c:v>284.80340196293969</c:v>
                </c:pt>
                <c:pt idx="2">
                  <c:v>296.77718946070786</c:v>
                </c:pt>
                <c:pt idx="3">
                  <c:v>313.52953469525823</c:v>
                </c:pt>
                <c:pt idx="4">
                  <c:v>327.61962753882744</c:v>
                </c:pt>
                <c:pt idx="5">
                  <c:v>269.68743996853266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8-429B-96E0-2D7F158E836A}"/>
            </c:ext>
          </c:extLst>
        </c:ser>
        <c:ser>
          <c:idx val="4"/>
          <c:order val="1"/>
          <c:tx>
            <c:strRef>
              <c:f>'PODATKI grafi'!$P$122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grafi'!$Q$122:$V$122</c:f>
              <c:numCache>
                <c:formatCode>0.00</c:formatCode>
                <c:ptCount val="6"/>
                <c:pt idx="0">
                  <c:v>26.630367338613951</c:v>
                </c:pt>
                <c:pt idx="1">
                  <c:v>27.047787611462354</c:v>
                </c:pt>
                <c:pt idx="2">
                  <c:v>27.535858153006529</c:v>
                </c:pt>
                <c:pt idx="3">
                  <c:v>29.295022135155932</c:v>
                </c:pt>
                <c:pt idx="4">
                  <c:v>29.922558806063023</c:v>
                </c:pt>
                <c:pt idx="5">
                  <c:v>17.574527603501394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B8-429B-96E0-2D7F158E8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404736"/>
        <c:axId val="161743424"/>
      </c:areaChart>
      <c:lineChart>
        <c:grouping val="standard"/>
        <c:varyColors val="0"/>
        <c:ser>
          <c:idx val="5"/>
          <c:order val="5"/>
          <c:tx>
            <c:strRef>
              <c:f>'PODATKI grafi'!$P$124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grafi'!$Q$124:$V$124</c:f>
              <c:numCache>
                <c:formatCode>0.000</c:formatCode>
                <c:ptCount val="6"/>
                <c:pt idx="0">
                  <c:v>143</c:v>
                </c:pt>
                <c:pt idx="1">
                  <c:v>143</c:v>
                </c:pt>
                <c:pt idx="2">
                  <c:v>143</c:v>
                </c:pt>
                <c:pt idx="3">
                  <c:v>143</c:v>
                </c:pt>
                <c:pt idx="4">
                  <c:v>143</c:v>
                </c:pt>
                <c:pt idx="5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B8-429B-96E0-2D7F158E8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04736"/>
        <c:axId val="161743424"/>
      </c:lineChart>
      <c:lineChart>
        <c:grouping val="standard"/>
        <c:varyColors val="0"/>
        <c:ser>
          <c:idx val="0"/>
          <c:order val="2"/>
          <c:tx>
            <c:strRef>
              <c:f>'PODATKI grafi'!$P$119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grafi'!$Q$119:$V$119</c:f>
              <c:numCache>
                <c:formatCode>0.00</c:formatCode>
                <c:ptCount val="6"/>
                <c:pt idx="0">
                  <c:v>301.96515661063427</c:v>
                </c:pt>
                <c:pt idx="1">
                  <c:v>311.85118957440204</c:v>
                </c:pt>
                <c:pt idx="2">
                  <c:v>324.31304761371439</c:v>
                </c:pt>
                <c:pt idx="3">
                  <c:v>342.82455683041417</c:v>
                </c:pt>
                <c:pt idx="4">
                  <c:v>357.54218634489047</c:v>
                </c:pt>
                <c:pt idx="5">
                  <c:v>287.26196757203405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B8-429B-96E0-2D7F158E836A}"/>
            </c:ext>
          </c:extLst>
        </c:ser>
        <c:ser>
          <c:idx val="1"/>
          <c:order val="3"/>
          <c:tx>
            <c:strRef>
              <c:f>'PODATKI grafi'!$P$120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grafi'!$Q$120:$V$120</c:f>
              <c:numCache>
                <c:formatCode>0.00</c:formatCode>
                <c:ptCount val="6"/>
                <c:pt idx="0">
                  <c:v>294.53596309843323</c:v>
                </c:pt>
                <c:pt idx="1">
                  <c:v>304.30554644874002</c:v>
                </c:pt>
                <c:pt idx="2">
                  <c:v>316.63124525094412</c:v>
                </c:pt>
                <c:pt idx="3">
                  <c:v>334.65199256875974</c:v>
                </c:pt>
                <c:pt idx="4">
                  <c:v>349.19455535190292</c:v>
                </c:pt>
                <c:pt idx="5">
                  <c:v>282.35912245571404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B8-429B-96E0-2D7F158E836A}"/>
            </c:ext>
          </c:extLst>
        </c:ser>
        <c:ser>
          <c:idx val="2"/>
          <c:order val="4"/>
          <c:tx>
            <c:strRef>
              <c:f>'PODATKI grafi'!$P$121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grafi'!$Q$121:$V$121</c:f>
              <c:numCache>
                <c:formatCode>0.00</c:formatCode>
                <c:ptCount val="6"/>
                <c:pt idx="0">
                  <c:v>275.33478927202032</c:v>
                </c:pt>
                <c:pt idx="1">
                  <c:v>284.80340196293969</c:v>
                </c:pt>
                <c:pt idx="2">
                  <c:v>296.77718946070786</c:v>
                </c:pt>
                <c:pt idx="3">
                  <c:v>313.52953469525823</c:v>
                </c:pt>
                <c:pt idx="4">
                  <c:v>327.61962753882744</c:v>
                </c:pt>
                <c:pt idx="5">
                  <c:v>269.68743996853266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B8-429B-96E0-2D7F158E8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05248"/>
        <c:axId val="161744000"/>
      </c:lineChart>
      <c:catAx>
        <c:axId val="156404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174342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1743424"/>
        <c:scaling>
          <c:orientation val="minMax"/>
          <c:max val="225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56404736"/>
        <c:crosses val="autoZero"/>
        <c:crossBetween val="midCat"/>
        <c:majorUnit val="25"/>
      </c:valAx>
      <c:catAx>
        <c:axId val="156405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1744000"/>
        <c:crossesAt val="25"/>
        <c:auto val="1"/>
        <c:lblAlgn val="ctr"/>
        <c:lblOffset val="100"/>
        <c:noMultiLvlLbl val="0"/>
      </c:catAx>
      <c:valAx>
        <c:axId val="161744000"/>
        <c:scaling>
          <c:orientation val="minMax"/>
          <c:max val="225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56405248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grafi'!$J$112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grafi'!$Q$112:$V$112</c:f>
              <c:numCache>
                <c:formatCode>0</c:formatCode>
                <c:ptCount val="6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  <c:pt idx="4">
                  <c:v>23.94</c:v>
                </c:pt>
                <c:pt idx="5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D-4D43-8C13-E3E6572F7C2A}"/>
            </c:ext>
          </c:extLst>
        </c:ser>
        <c:ser>
          <c:idx val="1"/>
          <c:order val="2"/>
          <c:tx>
            <c:strRef>
              <c:f>'PODATKI grafi'!$J$113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grafi'!$Q$113:$V$113</c:f>
              <c:numCache>
                <c:formatCode>0</c:formatCode>
                <c:ptCount val="6"/>
                <c:pt idx="0">
                  <c:v>929.49999999999989</c:v>
                </c:pt>
                <c:pt idx="1">
                  <c:v>857.99999999999989</c:v>
                </c:pt>
                <c:pt idx="2">
                  <c:v>786.49999999999989</c:v>
                </c:pt>
                <c:pt idx="3">
                  <c:v>714.99999999999989</c:v>
                </c:pt>
                <c:pt idx="4">
                  <c:v>643.5</c:v>
                </c:pt>
                <c:pt idx="5">
                  <c:v>786.49999999999989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D-4D43-8C13-E3E6572F7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390912"/>
        <c:axId val="161746304"/>
      </c:barChart>
      <c:lineChart>
        <c:grouping val="standard"/>
        <c:varyColors val="0"/>
        <c:ser>
          <c:idx val="2"/>
          <c:order val="1"/>
          <c:tx>
            <c:strRef>
              <c:f>'PODATKI grafi'!$J$125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grafi'!$Q$125:$V$125</c:f>
              <c:numCache>
                <c:formatCode>#,##0.0</c:formatCode>
                <c:ptCount val="6"/>
                <c:pt idx="0">
                  <c:v>-423.03527086123654</c:v>
                </c:pt>
                <c:pt idx="1">
                  <c:v>-434.77683891794686</c:v>
                </c:pt>
                <c:pt idx="2">
                  <c:v>-449.93570535322533</c:v>
                </c:pt>
                <c:pt idx="3">
                  <c:v>-464.56156597443305</c:v>
                </c:pt>
                <c:pt idx="4">
                  <c:v>-466.58651701779308</c:v>
                </c:pt>
                <c:pt idx="5">
                  <c:v>-392.20149382594786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3D-4D43-8C13-E3E6572F7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90912"/>
        <c:axId val="161746304"/>
      </c:lineChart>
      <c:catAx>
        <c:axId val="156390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1746304"/>
        <c:crosses val="autoZero"/>
        <c:auto val="1"/>
        <c:lblAlgn val="ctr"/>
        <c:lblOffset val="100"/>
        <c:noMultiLvlLbl val="0"/>
      </c:catAx>
      <c:valAx>
        <c:axId val="161746304"/>
        <c:scaling>
          <c:orientation val="minMax"/>
          <c:max val="2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56390912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grafi'!$Q$158:$V$158</c:f>
              <c:numCache>
                <c:formatCode>0.00</c:formatCode>
                <c:ptCount val="6"/>
                <c:pt idx="0">
                  <c:v>556.21818935698593</c:v>
                </c:pt>
                <c:pt idx="1">
                  <c:v>586.28147194021722</c:v>
                </c:pt>
                <c:pt idx="2">
                  <c:v>622.25061520430302</c:v>
                </c:pt>
                <c:pt idx="3">
                  <c:v>667.31517736750141</c:v>
                </c:pt>
                <c:pt idx="4">
                  <c:v>594.41321188571646</c:v>
                </c:pt>
                <c:pt idx="5">
                  <c:v>561.8011073358532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9-427A-8236-506AC8F94596}"/>
            </c:ext>
          </c:extLst>
        </c:ser>
        <c:ser>
          <c:idx val="4"/>
          <c:order val="1"/>
          <c:tx>
            <c:strRef>
              <c:f>'PODATKI grafi'!$P$159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grafi'!$Q$159:$V$159</c:f>
              <c:numCache>
                <c:formatCode>0.00</c:formatCode>
                <c:ptCount val="6"/>
                <c:pt idx="0">
                  <c:v>26.108858541523773</c:v>
                </c:pt>
                <c:pt idx="1">
                  <c:v>29.634986292863232</c:v>
                </c:pt>
                <c:pt idx="2">
                  <c:v>32.951648314383078</c:v>
                </c:pt>
                <c:pt idx="3">
                  <c:v>36.906964012881872</c:v>
                </c:pt>
                <c:pt idx="4">
                  <c:v>26.499926649763665</c:v>
                </c:pt>
                <c:pt idx="5">
                  <c:v>23.917820247105738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99-427A-8236-506AC8F94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906688"/>
        <c:axId val="161748608"/>
      </c:areaChart>
      <c:lineChart>
        <c:grouping val="standard"/>
        <c:varyColors val="0"/>
        <c:ser>
          <c:idx val="5"/>
          <c:order val="5"/>
          <c:tx>
            <c:strRef>
              <c:f>'PODATKI grafi'!$P$161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grafi'!$Q$161:$V$161</c:f>
              <c:numCache>
                <c:formatCode>0.000</c:formatCode>
                <c:ptCount val="6"/>
                <c:pt idx="0">
                  <c:v>377.99999999999994</c:v>
                </c:pt>
                <c:pt idx="1">
                  <c:v>377.99999999999994</c:v>
                </c:pt>
                <c:pt idx="2">
                  <c:v>377.99999999999994</c:v>
                </c:pt>
                <c:pt idx="3">
                  <c:v>377.99999999999994</c:v>
                </c:pt>
                <c:pt idx="4">
                  <c:v>377.99999999999994</c:v>
                </c:pt>
                <c:pt idx="5">
                  <c:v>377.99999999999994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99-427A-8236-506AC8F94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06688"/>
        <c:axId val="161748608"/>
      </c:lineChart>
      <c:lineChart>
        <c:grouping val="standard"/>
        <c:varyColors val="0"/>
        <c:ser>
          <c:idx val="0"/>
          <c:order val="2"/>
          <c:tx>
            <c:strRef>
              <c:f>'PODATKI grafi'!$P$156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grafi'!$Q$156:$V$156</c:f>
              <c:numCache>
                <c:formatCode>0.00</c:formatCode>
                <c:ptCount val="6"/>
                <c:pt idx="0">
                  <c:v>582.3270478985097</c:v>
                </c:pt>
                <c:pt idx="1">
                  <c:v>615.91645823308045</c:v>
                </c:pt>
                <c:pt idx="2">
                  <c:v>655.2022635186861</c:v>
                </c:pt>
                <c:pt idx="3">
                  <c:v>704.22214138038328</c:v>
                </c:pt>
                <c:pt idx="4">
                  <c:v>620.91313853548013</c:v>
                </c:pt>
                <c:pt idx="5">
                  <c:v>585.71892758295894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99-427A-8236-506AC8F94596}"/>
            </c:ext>
          </c:extLst>
        </c:ser>
        <c:ser>
          <c:idx val="1"/>
          <c:order val="3"/>
          <c:tx>
            <c:strRef>
              <c:f>'PODATKI grafi'!$P$157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grafi'!$Q$157:$V$157</c:f>
              <c:numCache>
                <c:formatCode>0.00</c:formatCode>
                <c:ptCount val="6"/>
                <c:pt idx="0">
                  <c:v>575.04334204416307</c:v>
                </c:pt>
                <c:pt idx="1">
                  <c:v>607.64905263924663</c:v>
                </c:pt>
                <c:pt idx="2">
                  <c:v>646.00959378338814</c:v>
                </c:pt>
                <c:pt idx="3">
                  <c:v>693.92603941103619</c:v>
                </c:pt>
                <c:pt idx="4">
                  <c:v>613.52033464971623</c:v>
                </c:pt>
                <c:pt idx="5">
                  <c:v>579.04646554943156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99-427A-8236-506AC8F94596}"/>
            </c:ext>
          </c:extLst>
        </c:ser>
        <c:ser>
          <c:idx val="2"/>
          <c:order val="4"/>
          <c:tx>
            <c:strRef>
              <c:f>'PODATKI grafi'!$P$158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grafi'!$Q$158:$V$158</c:f>
              <c:numCache>
                <c:formatCode>0.00</c:formatCode>
                <c:ptCount val="6"/>
                <c:pt idx="0">
                  <c:v>556.21818935698593</c:v>
                </c:pt>
                <c:pt idx="1">
                  <c:v>586.28147194021722</c:v>
                </c:pt>
                <c:pt idx="2">
                  <c:v>622.25061520430302</c:v>
                </c:pt>
                <c:pt idx="3">
                  <c:v>667.31517736750141</c:v>
                </c:pt>
                <c:pt idx="4">
                  <c:v>594.41321188571646</c:v>
                </c:pt>
                <c:pt idx="5">
                  <c:v>561.8011073358532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99-427A-8236-506AC8F94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07200"/>
        <c:axId val="161749184"/>
      </c:lineChart>
      <c:catAx>
        <c:axId val="161906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174860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1748608"/>
        <c:scaling>
          <c:orientation val="minMax"/>
          <c:max val="500"/>
          <c:min val="1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1906688"/>
        <c:crosses val="autoZero"/>
        <c:crossBetween val="midCat"/>
        <c:majorUnit val="50"/>
      </c:valAx>
      <c:catAx>
        <c:axId val="161907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1749184"/>
        <c:crossesAt val="25"/>
        <c:auto val="1"/>
        <c:lblAlgn val="ctr"/>
        <c:lblOffset val="100"/>
        <c:noMultiLvlLbl val="0"/>
      </c:catAx>
      <c:valAx>
        <c:axId val="161749184"/>
        <c:scaling>
          <c:orientation val="minMax"/>
          <c:max val="500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1907200"/>
        <c:crosses val="max"/>
        <c:crossBetween val="midCat"/>
        <c:minorUnit val="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grafi'!$J$149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grafi'!$Q$149:$V$149</c:f>
              <c:numCache>
                <c:formatCode>0</c:formatCode>
                <c:ptCount val="6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  <c:pt idx="4">
                  <c:v>23.94</c:v>
                </c:pt>
                <c:pt idx="5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4-44F3-AE79-F2B830CAD080}"/>
            </c:ext>
          </c:extLst>
        </c:ser>
        <c:ser>
          <c:idx val="1"/>
          <c:order val="2"/>
          <c:tx>
            <c:strRef>
              <c:f>'PODATKI grafi'!$J$113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grafi'!$Q$150:$V$150</c:f>
              <c:numCache>
                <c:formatCode>0</c:formatCode>
                <c:ptCount val="6"/>
                <c:pt idx="0">
                  <c:v>1511.9999999999998</c:v>
                </c:pt>
                <c:pt idx="1">
                  <c:v>1322.9999999999998</c:v>
                </c:pt>
                <c:pt idx="2">
                  <c:v>1133.9999999999998</c:v>
                </c:pt>
                <c:pt idx="3">
                  <c:v>944.99999999999989</c:v>
                </c:pt>
                <c:pt idx="4">
                  <c:v>1133.9999999999998</c:v>
                </c:pt>
                <c:pt idx="5">
                  <c:v>1322.9999999999998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4-44F3-AE79-F2B830CAD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404224"/>
        <c:axId val="161980992"/>
      </c:barChart>
      <c:lineChart>
        <c:grouping val="standard"/>
        <c:varyColors val="0"/>
        <c:ser>
          <c:idx val="2"/>
          <c:order val="1"/>
          <c:tx>
            <c:strRef>
              <c:f>'PODATKI grafi'!$J$162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grafi'!$Q$162:$V$162</c:f>
              <c:numCache>
                <c:formatCode>#,##0.0</c:formatCode>
                <c:ptCount val="6"/>
                <c:pt idx="0">
                  <c:v>-376.11860799462761</c:v>
                </c:pt>
                <c:pt idx="1">
                  <c:v>-395.25763272019481</c:v>
                </c:pt>
                <c:pt idx="2">
                  <c:v>-410.96432763127905</c:v>
                </c:pt>
                <c:pt idx="3">
                  <c:v>-418.23461162611136</c:v>
                </c:pt>
                <c:pt idx="4">
                  <c:v>-380.03639942170071</c:v>
                </c:pt>
                <c:pt idx="5">
                  <c:v>-363.56553802401118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64-44F3-AE79-F2B830CAD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04224"/>
        <c:axId val="161980992"/>
      </c:lineChart>
      <c:catAx>
        <c:axId val="15640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1980992"/>
        <c:crosses val="autoZero"/>
        <c:auto val="1"/>
        <c:lblAlgn val="ctr"/>
        <c:lblOffset val="100"/>
        <c:noMultiLvlLbl val="0"/>
      </c:catAx>
      <c:valAx>
        <c:axId val="161980992"/>
        <c:scaling>
          <c:orientation val="minMax"/>
          <c:max val="25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56404224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grafi'!$Q$195:$V$195</c:f>
              <c:numCache>
                <c:formatCode>0.00</c:formatCode>
                <c:ptCount val="6"/>
                <c:pt idx="0">
                  <c:v>227.76493046308465</c:v>
                </c:pt>
                <c:pt idx="1">
                  <c:v>233.04356011399241</c:v>
                </c:pt>
                <c:pt idx="2">
                  <c:v>242.26535482189735</c:v>
                </c:pt>
                <c:pt idx="3">
                  <c:v>253.45301256352545</c:v>
                </c:pt>
                <c:pt idx="4">
                  <c:v>263.58078064467009</c:v>
                </c:pt>
                <c:pt idx="5">
                  <c:v>233.8034164910427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E-4EB2-8B28-07695DB23FF0}"/>
            </c:ext>
          </c:extLst>
        </c:ser>
        <c:ser>
          <c:idx val="4"/>
          <c:order val="1"/>
          <c:tx>
            <c:strRef>
              <c:f>'PODATKI grafi'!$P$196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grafi'!$Q$196:$V$196</c:f>
              <c:numCache>
                <c:formatCode>0.00</c:formatCode>
                <c:ptCount val="6"/>
                <c:pt idx="0">
                  <c:v>10.45699933234286</c:v>
                </c:pt>
                <c:pt idx="1">
                  <c:v>10.749592444188352</c:v>
                </c:pt>
                <c:pt idx="2">
                  <c:v>11.785564550992035</c:v>
                </c:pt>
                <c:pt idx="3">
                  <c:v>13.051685676866924</c:v>
                </c:pt>
                <c:pt idx="4">
                  <c:v>14.634337084210529</c:v>
                </c:pt>
                <c:pt idx="5">
                  <c:v>9.6814467559331092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DE-4EB2-8B28-07695DB23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908736"/>
        <c:axId val="161983296"/>
      </c:areaChart>
      <c:lineChart>
        <c:grouping val="standard"/>
        <c:varyColors val="0"/>
        <c:ser>
          <c:idx val="5"/>
          <c:order val="5"/>
          <c:tx>
            <c:strRef>
              <c:f>'PODATKI grafi'!$P$198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grafi'!$Q$198:$V$198</c:f>
              <c:numCache>
                <c:formatCode>0.000</c:formatCode>
                <c:ptCount val="6"/>
                <c:pt idx="0">
                  <c:v>142</c:v>
                </c:pt>
                <c:pt idx="1">
                  <c:v>142</c:v>
                </c:pt>
                <c:pt idx="2">
                  <c:v>142</c:v>
                </c:pt>
                <c:pt idx="3">
                  <c:v>142</c:v>
                </c:pt>
                <c:pt idx="4">
                  <c:v>142</c:v>
                </c:pt>
                <c:pt idx="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DE-4EB2-8B28-07695DB23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08736"/>
        <c:axId val="161983296"/>
      </c:lineChart>
      <c:lineChart>
        <c:grouping val="standard"/>
        <c:varyColors val="0"/>
        <c:ser>
          <c:idx val="0"/>
          <c:order val="2"/>
          <c:tx>
            <c:strRef>
              <c:f>'PODATKI grafi'!$P$193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grafi'!$Q$193:$V$193</c:f>
              <c:numCache>
                <c:formatCode>0.00</c:formatCode>
                <c:ptCount val="6"/>
                <c:pt idx="0">
                  <c:v>238.22192979542751</c:v>
                </c:pt>
                <c:pt idx="1">
                  <c:v>243.79315255818076</c:v>
                </c:pt>
                <c:pt idx="2">
                  <c:v>254.05091937288938</c:v>
                </c:pt>
                <c:pt idx="3">
                  <c:v>266.50469824039237</c:v>
                </c:pt>
                <c:pt idx="4">
                  <c:v>278.21511772888061</c:v>
                </c:pt>
                <c:pt idx="5">
                  <c:v>243.48486324697581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DE-4EB2-8B28-07695DB23FF0}"/>
            </c:ext>
          </c:extLst>
        </c:ser>
        <c:ser>
          <c:idx val="1"/>
          <c:order val="3"/>
          <c:tx>
            <c:strRef>
              <c:f>'PODATKI grafi'!$P$194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grafi'!$Q$194:$V$194</c:f>
              <c:numCache>
                <c:formatCode>0.00</c:formatCode>
                <c:ptCount val="6"/>
                <c:pt idx="0">
                  <c:v>235.30469359627506</c:v>
                </c:pt>
                <c:pt idx="1">
                  <c:v>240.79429034085899</c:v>
                </c:pt>
                <c:pt idx="2">
                  <c:v>250.76304735120314</c:v>
                </c:pt>
                <c:pt idx="3">
                  <c:v>262.86361070596433</c:v>
                </c:pt>
                <c:pt idx="4">
                  <c:v>274.13251080352535</c:v>
                </c:pt>
                <c:pt idx="5">
                  <c:v>240.78398644293685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DE-4EB2-8B28-07695DB23FF0}"/>
            </c:ext>
          </c:extLst>
        </c:ser>
        <c:ser>
          <c:idx val="2"/>
          <c:order val="4"/>
          <c:tx>
            <c:strRef>
              <c:f>'PODATKI grafi'!$P$195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grafi'!$Q$195:$V$195</c:f>
              <c:numCache>
                <c:formatCode>0.00</c:formatCode>
                <c:ptCount val="6"/>
                <c:pt idx="0">
                  <c:v>227.76493046308465</c:v>
                </c:pt>
                <c:pt idx="1">
                  <c:v>233.04356011399241</c:v>
                </c:pt>
                <c:pt idx="2">
                  <c:v>242.26535482189735</c:v>
                </c:pt>
                <c:pt idx="3">
                  <c:v>253.45301256352545</c:v>
                </c:pt>
                <c:pt idx="4">
                  <c:v>263.58078064467009</c:v>
                </c:pt>
                <c:pt idx="5">
                  <c:v>233.8034164910427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1DE-4EB2-8B28-07695DB23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09248"/>
        <c:axId val="161983872"/>
      </c:lineChart>
      <c:catAx>
        <c:axId val="161908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198329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1983296"/>
        <c:scaling>
          <c:orientation val="minMax"/>
          <c:max val="225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1908736"/>
        <c:crosses val="autoZero"/>
        <c:crossBetween val="midCat"/>
        <c:majorUnit val="25"/>
      </c:valAx>
      <c:catAx>
        <c:axId val="161909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1983872"/>
        <c:crossesAt val="25"/>
        <c:auto val="1"/>
        <c:lblAlgn val="ctr"/>
        <c:lblOffset val="100"/>
        <c:noMultiLvlLbl val="0"/>
      </c:catAx>
      <c:valAx>
        <c:axId val="161983872"/>
        <c:scaling>
          <c:orientation val="minMax"/>
          <c:max val="225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1909248"/>
        <c:crosses val="max"/>
        <c:crossBetween val="midCat"/>
        <c:minorUnit val="2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grafi'!$J$186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grafi'!$Q$186:$V$186</c:f>
              <c:numCache>
                <c:formatCode>0</c:formatCode>
                <c:ptCount val="6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  <c:pt idx="4">
                  <c:v>23.94</c:v>
                </c:pt>
                <c:pt idx="5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62-4111-82AE-18A14012C2CF}"/>
            </c:ext>
          </c:extLst>
        </c:ser>
        <c:ser>
          <c:idx val="1"/>
          <c:order val="2"/>
          <c:tx>
            <c:strRef>
              <c:f>'PODATKI grafi'!$J$187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grafi'!$Q$187:$V$187</c:f>
              <c:numCache>
                <c:formatCode>0</c:formatCode>
                <c:ptCount val="6"/>
                <c:pt idx="0">
                  <c:v>1703.9999999999998</c:v>
                </c:pt>
                <c:pt idx="1">
                  <c:v>1561.9999999999998</c:v>
                </c:pt>
                <c:pt idx="2">
                  <c:v>1419.9999999999998</c:v>
                </c:pt>
                <c:pt idx="3">
                  <c:v>1277.9999999999998</c:v>
                </c:pt>
                <c:pt idx="4">
                  <c:v>1136</c:v>
                </c:pt>
                <c:pt idx="5">
                  <c:v>1419.9999999999998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62-4111-82AE-18A14012C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909760"/>
        <c:axId val="161986176"/>
      </c:barChart>
      <c:lineChart>
        <c:grouping val="standard"/>
        <c:varyColors val="0"/>
        <c:ser>
          <c:idx val="2"/>
          <c:order val="1"/>
          <c:tx>
            <c:strRef>
              <c:f>'PODATKI grafi'!$J$199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grafi'!$Q$199:$V$199</c:f>
              <c:numCache>
                <c:formatCode>#,##0.0</c:formatCode>
                <c:ptCount val="6"/>
                <c:pt idx="0">
                  <c:v>-642.43412665034589</c:v>
                </c:pt>
                <c:pt idx="1">
                  <c:v>-632.86910857489852</c:v>
                </c:pt>
                <c:pt idx="2">
                  <c:v>-636.31811715054596</c:v>
                </c:pt>
                <c:pt idx="3">
                  <c:v>-639.06935654914764</c:v>
                </c:pt>
                <c:pt idx="4">
                  <c:v>-611.45494594774868</c:v>
                </c:pt>
                <c:pt idx="5">
                  <c:v>-605.59379459594879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62-4111-82AE-18A14012C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09760"/>
        <c:axId val="161986176"/>
      </c:lineChart>
      <c:catAx>
        <c:axId val="16190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1986176"/>
        <c:crosses val="autoZero"/>
        <c:auto val="1"/>
        <c:lblAlgn val="ctr"/>
        <c:lblOffset val="100"/>
        <c:noMultiLvlLbl val="0"/>
      </c:catAx>
      <c:valAx>
        <c:axId val="161986176"/>
        <c:scaling>
          <c:orientation val="minMax"/>
          <c:max val="3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1909760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grafi'!$Q$232:$V$232</c:f>
              <c:numCache>
                <c:formatCode>0.00</c:formatCode>
                <c:ptCount val="6"/>
                <c:pt idx="0">
                  <c:v>172.46548277110486</c:v>
                </c:pt>
                <c:pt idx="1">
                  <c:v>204.94905565032585</c:v>
                </c:pt>
                <c:pt idx="2">
                  <c:v>256.77967328673441</c:v>
                </c:pt>
                <c:pt idx="3">
                  <c:v>292.86761943057581</c:v>
                </c:pt>
                <c:pt idx="4">
                  <c:v>266.27269017551441</c:v>
                </c:pt>
                <c:pt idx="5">
                  <c:v>207.86522581123182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6-45F5-A267-4FA4D7DC8960}"/>
            </c:ext>
          </c:extLst>
        </c:ser>
        <c:ser>
          <c:idx val="4"/>
          <c:order val="1"/>
          <c:tx>
            <c:strRef>
              <c:f>'PODATKI grafi'!$P$233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grafi'!$Q$233:$V$233</c:f>
              <c:numCache>
                <c:formatCode>0.00</c:formatCode>
                <c:ptCount val="6"/>
                <c:pt idx="0">
                  <c:v>41.635614743940806</c:v>
                </c:pt>
                <c:pt idx="1">
                  <c:v>45.321718818828231</c:v>
                </c:pt>
                <c:pt idx="2">
                  <c:v>51.263849230067478</c:v>
                </c:pt>
                <c:pt idx="3">
                  <c:v>55.869234190854172</c:v>
                </c:pt>
                <c:pt idx="4">
                  <c:v>54.626558772974249</c:v>
                </c:pt>
                <c:pt idx="5">
                  <c:v>46.370067347908531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6-45F5-A267-4FA4D7DC8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77728"/>
        <c:axId val="162250752"/>
      </c:areaChart>
      <c:lineChart>
        <c:grouping val="standard"/>
        <c:varyColors val="0"/>
        <c:ser>
          <c:idx val="5"/>
          <c:order val="5"/>
          <c:tx>
            <c:strRef>
              <c:f>'PODATKI grafi'!$P$235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grafi'!$Q$235:$V$235</c:f>
              <c:numCache>
                <c:formatCode>0.000</c:formatCode>
                <c:ptCount val="6"/>
                <c:pt idx="0">
                  <c:v>458.99999999999989</c:v>
                </c:pt>
                <c:pt idx="1">
                  <c:v>459</c:v>
                </c:pt>
                <c:pt idx="2">
                  <c:v>458.99999999999994</c:v>
                </c:pt>
                <c:pt idx="3">
                  <c:v>458.99999999999989</c:v>
                </c:pt>
                <c:pt idx="4">
                  <c:v>458.99999999999994</c:v>
                </c:pt>
                <c:pt idx="5">
                  <c:v>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26-45F5-A267-4FA4D7DC8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77728"/>
        <c:axId val="162250752"/>
      </c:lineChart>
      <c:lineChart>
        <c:grouping val="standard"/>
        <c:varyColors val="0"/>
        <c:ser>
          <c:idx val="0"/>
          <c:order val="2"/>
          <c:tx>
            <c:strRef>
              <c:f>'PODATKI grafi'!$P$230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grafi'!$Q$230:$V$230</c:f>
              <c:numCache>
                <c:formatCode>0.00</c:formatCode>
                <c:ptCount val="6"/>
                <c:pt idx="0">
                  <c:v>214.10109751504567</c:v>
                </c:pt>
                <c:pt idx="1">
                  <c:v>250.27077446915408</c:v>
                </c:pt>
                <c:pt idx="2">
                  <c:v>308.04352251680189</c:v>
                </c:pt>
                <c:pt idx="3">
                  <c:v>348.73685362142999</c:v>
                </c:pt>
                <c:pt idx="4">
                  <c:v>320.89924894848866</c:v>
                </c:pt>
                <c:pt idx="5">
                  <c:v>254.23529315914035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26-45F5-A267-4FA4D7DC8960}"/>
            </c:ext>
          </c:extLst>
        </c:ser>
        <c:ser>
          <c:idx val="1"/>
          <c:order val="3"/>
          <c:tx>
            <c:strRef>
              <c:f>'PODATKI grafi'!$P$231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grafi'!$Q$231:$V$231</c:f>
              <c:numCache>
                <c:formatCode>0.00</c:formatCode>
                <c:ptCount val="6"/>
                <c:pt idx="0">
                  <c:v>202.4858225547309</c:v>
                </c:pt>
                <c:pt idx="1">
                  <c:v>237.6271704538832</c:v>
                </c:pt>
                <c:pt idx="2">
                  <c:v>293.7422156190093</c:v>
                </c:pt>
                <c:pt idx="3">
                  <c:v>333.15076173975723</c:v>
                </c:pt>
                <c:pt idx="4">
                  <c:v>305.65983182480539</c:v>
                </c:pt>
                <c:pt idx="5">
                  <c:v>241.29922663324251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C26-45F5-A267-4FA4D7DC8960}"/>
            </c:ext>
          </c:extLst>
        </c:ser>
        <c:ser>
          <c:idx val="2"/>
          <c:order val="4"/>
          <c:tx>
            <c:strRef>
              <c:f>'PODATKI grafi'!$P$232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grafi'!$Q$232:$V$232</c:f>
              <c:numCache>
                <c:formatCode>0.00</c:formatCode>
                <c:ptCount val="6"/>
                <c:pt idx="0">
                  <c:v>172.46548277110486</c:v>
                </c:pt>
                <c:pt idx="1">
                  <c:v>204.94905565032585</c:v>
                </c:pt>
                <c:pt idx="2">
                  <c:v>256.77967328673441</c:v>
                </c:pt>
                <c:pt idx="3">
                  <c:v>292.86761943057581</c:v>
                </c:pt>
                <c:pt idx="4">
                  <c:v>266.27269017551441</c:v>
                </c:pt>
                <c:pt idx="5">
                  <c:v>207.86522581123182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26-45F5-A267-4FA4D7DC8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78240"/>
        <c:axId val="162251328"/>
      </c:lineChart>
      <c:catAx>
        <c:axId val="16237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225075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2250752"/>
        <c:scaling>
          <c:orientation val="minMax"/>
          <c:max val="400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2377728"/>
        <c:crosses val="autoZero"/>
        <c:crossBetween val="midCat"/>
        <c:majorUnit val="50"/>
      </c:valAx>
      <c:catAx>
        <c:axId val="162378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2251328"/>
        <c:crossesAt val="25"/>
        <c:auto val="1"/>
        <c:lblAlgn val="ctr"/>
        <c:lblOffset val="100"/>
        <c:noMultiLvlLbl val="0"/>
      </c:catAx>
      <c:valAx>
        <c:axId val="162251328"/>
        <c:scaling>
          <c:orientation val="minMax"/>
          <c:max val="400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2378240"/>
        <c:crosses val="max"/>
        <c:crossBetween val="midCat"/>
        <c:majorUnit val="50"/>
        <c:minorUnit val="2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282112022832679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grafi'!$Q$121:$V$121</c:f>
              <c:numCache>
                <c:formatCode>0.00</c:formatCode>
                <c:ptCount val="6"/>
                <c:pt idx="0">
                  <c:v>275.33478927202032</c:v>
                </c:pt>
                <c:pt idx="1">
                  <c:v>284.80340196293969</c:v>
                </c:pt>
                <c:pt idx="2">
                  <c:v>296.77718946070786</c:v>
                </c:pt>
                <c:pt idx="3">
                  <c:v>313.52953469525823</c:v>
                </c:pt>
                <c:pt idx="4">
                  <c:v>327.61962753882744</c:v>
                </c:pt>
                <c:pt idx="5">
                  <c:v>269.68743996853266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8-4739-91D0-0855B8C5D8CE}"/>
            </c:ext>
          </c:extLst>
        </c:ser>
        <c:ser>
          <c:idx val="4"/>
          <c:order val="1"/>
          <c:tx>
            <c:strRef>
              <c:f>'PODATKI grafi'!$P$122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grafi'!$Q$122:$V$122</c:f>
              <c:numCache>
                <c:formatCode>0.00</c:formatCode>
                <c:ptCount val="6"/>
                <c:pt idx="0">
                  <c:v>26.630367338613951</c:v>
                </c:pt>
                <c:pt idx="1">
                  <c:v>27.047787611462354</c:v>
                </c:pt>
                <c:pt idx="2">
                  <c:v>27.535858153006529</c:v>
                </c:pt>
                <c:pt idx="3">
                  <c:v>29.295022135155932</c:v>
                </c:pt>
                <c:pt idx="4">
                  <c:v>29.922558806063023</c:v>
                </c:pt>
                <c:pt idx="5">
                  <c:v>17.574527603501394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68-4739-91D0-0855B8C5D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404736"/>
        <c:axId val="161743424"/>
      </c:areaChart>
      <c:lineChart>
        <c:grouping val="standard"/>
        <c:varyColors val="0"/>
        <c:ser>
          <c:idx val="5"/>
          <c:order val="5"/>
          <c:tx>
            <c:strRef>
              <c:f>'PODATKI grafi'!$P$124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grafi'!$Q$124:$V$124</c:f>
              <c:numCache>
                <c:formatCode>0.000</c:formatCode>
                <c:ptCount val="6"/>
                <c:pt idx="0">
                  <c:v>143</c:v>
                </c:pt>
                <c:pt idx="1">
                  <c:v>143</c:v>
                </c:pt>
                <c:pt idx="2">
                  <c:v>143</c:v>
                </c:pt>
                <c:pt idx="3">
                  <c:v>143</c:v>
                </c:pt>
                <c:pt idx="4">
                  <c:v>143</c:v>
                </c:pt>
                <c:pt idx="5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68-4739-91D0-0855B8C5D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04736"/>
        <c:axId val="161743424"/>
      </c:lineChart>
      <c:lineChart>
        <c:grouping val="standard"/>
        <c:varyColors val="0"/>
        <c:ser>
          <c:idx val="0"/>
          <c:order val="2"/>
          <c:tx>
            <c:strRef>
              <c:f>'PODATKI grafi'!$P$119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grafi'!$Q$119:$V$119</c:f>
              <c:numCache>
                <c:formatCode>0.00</c:formatCode>
                <c:ptCount val="6"/>
                <c:pt idx="0">
                  <c:v>301.96515661063427</c:v>
                </c:pt>
                <c:pt idx="1">
                  <c:v>311.85118957440204</c:v>
                </c:pt>
                <c:pt idx="2">
                  <c:v>324.31304761371439</c:v>
                </c:pt>
                <c:pt idx="3">
                  <c:v>342.82455683041417</c:v>
                </c:pt>
                <c:pt idx="4">
                  <c:v>357.54218634489047</c:v>
                </c:pt>
                <c:pt idx="5">
                  <c:v>287.26196757203405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68-4739-91D0-0855B8C5D8CE}"/>
            </c:ext>
          </c:extLst>
        </c:ser>
        <c:ser>
          <c:idx val="1"/>
          <c:order val="3"/>
          <c:tx>
            <c:strRef>
              <c:f>'PODATKI grafi'!$P$120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grafi'!$Q$120:$V$120</c:f>
              <c:numCache>
                <c:formatCode>0.00</c:formatCode>
                <c:ptCount val="6"/>
                <c:pt idx="0">
                  <c:v>294.53596309843323</c:v>
                </c:pt>
                <c:pt idx="1">
                  <c:v>304.30554644874002</c:v>
                </c:pt>
                <c:pt idx="2">
                  <c:v>316.63124525094412</c:v>
                </c:pt>
                <c:pt idx="3">
                  <c:v>334.65199256875974</c:v>
                </c:pt>
                <c:pt idx="4">
                  <c:v>349.19455535190292</c:v>
                </c:pt>
                <c:pt idx="5">
                  <c:v>282.35912245571404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68-4739-91D0-0855B8C5D8CE}"/>
            </c:ext>
          </c:extLst>
        </c:ser>
        <c:ser>
          <c:idx val="2"/>
          <c:order val="4"/>
          <c:tx>
            <c:strRef>
              <c:f>'PODATKI grafi'!$P$121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grafi'!$Q$121:$V$121</c:f>
              <c:numCache>
                <c:formatCode>0.00</c:formatCode>
                <c:ptCount val="6"/>
                <c:pt idx="0">
                  <c:v>275.33478927202032</c:v>
                </c:pt>
                <c:pt idx="1">
                  <c:v>284.80340196293969</c:v>
                </c:pt>
                <c:pt idx="2">
                  <c:v>296.77718946070786</c:v>
                </c:pt>
                <c:pt idx="3">
                  <c:v>313.52953469525823</c:v>
                </c:pt>
                <c:pt idx="4">
                  <c:v>327.61962753882744</c:v>
                </c:pt>
                <c:pt idx="5">
                  <c:v>269.68743996853266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868-4739-91D0-0855B8C5D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05248"/>
        <c:axId val="161744000"/>
      </c:lineChart>
      <c:catAx>
        <c:axId val="156404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174342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1743424"/>
        <c:scaling>
          <c:orientation val="minMax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56404736"/>
        <c:crosses val="autoZero"/>
        <c:crossBetween val="midCat"/>
        <c:majorUnit val="50"/>
      </c:valAx>
      <c:catAx>
        <c:axId val="156405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1744000"/>
        <c:crossesAt val="25"/>
        <c:auto val="1"/>
        <c:lblAlgn val="ctr"/>
        <c:lblOffset val="100"/>
        <c:noMultiLvlLbl val="0"/>
      </c:catAx>
      <c:valAx>
        <c:axId val="161744000"/>
        <c:scaling>
          <c:orientation val="minMax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56405248"/>
        <c:crosses val="max"/>
        <c:crossBetween val="midCat"/>
        <c:majorUnit val="50"/>
        <c:minorUnit val="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052668183454431"/>
          <c:y val="0.36656160049480224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grafi'!$J$223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grafi'!$Q$223:$V$223</c:f>
              <c:numCache>
                <c:formatCode>0</c:formatCode>
                <c:ptCount val="6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  <c:pt idx="4">
                  <c:v>23.94</c:v>
                </c:pt>
                <c:pt idx="5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1-44A4-A648-6567C52BA731}"/>
            </c:ext>
          </c:extLst>
        </c:ser>
        <c:ser>
          <c:idx val="1"/>
          <c:order val="2"/>
          <c:tx>
            <c:strRef>
              <c:f>'PODATKI grafi'!$J$224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grafi'!$Q$224:$V$224</c:f>
              <c:numCache>
                <c:formatCode>0</c:formatCode>
                <c:ptCount val="6"/>
                <c:pt idx="0">
                  <c:v>22949.999999999996</c:v>
                </c:pt>
                <c:pt idx="1">
                  <c:v>18360</c:v>
                </c:pt>
                <c:pt idx="2">
                  <c:v>13769.999999999998</c:v>
                </c:pt>
                <c:pt idx="3">
                  <c:v>11474.999999999998</c:v>
                </c:pt>
                <c:pt idx="4">
                  <c:v>13769.999999999998</c:v>
                </c:pt>
                <c:pt idx="5">
                  <c:v>18360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1-44A4-A648-6567C52BA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379264"/>
        <c:axId val="162253632"/>
      </c:barChart>
      <c:lineChart>
        <c:grouping val="standard"/>
        <c:varyColors val="0"/>
        <c:ser>
          <c:idx val="2"/>
          <c:order val="1"/>
          <c:tx>
            <c:strRef>
              <c:f>'PODATKI grafi'!$J$236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grafi'!$Q$236:$V$236</c:f>
              <c:numCache>
                <c:formatCode>#,##0.0</c:formatCode>
                <c:ptCount val="6"/>
                <c:pt idx="0">
                  <c:v>17701.402611667127</c:v>
                </c:pt>
                <c:pt idx="1">
                  <c:v>13138.575458242876</c:v>
                </c:pt>
                <c:pt idx="2">
                  <c:v>8629.6756927657116</c:v>
                </c:pt>
                <c:pt idx="3">
                  <c:v>6498.8480697559662</c:v>
                </c:pt>
                <c:pt idx="4">
                  <c:v>8538.7428818826666</c:v>
                </c:pt>
                <c:pt idx="5">
                  <c:v>13101.601709405648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21-44A4-A648-6567C52BA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79264"/>
        <c:axId val="162253632"/>
      </c:lineChart>
      <c:catAx>
        <c:axId val="16237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2253632"/>
        <c:crosses val="autoZero"/>
        <c:auto val="1"/>
        <c:lblAlgn val="ctr"/>
        <c:lblOffset val="100"/>
        <c:noMultiLvlLbl val="0"/>
      </c:catAx>
      <c:valAx>
        <c:axId val="162253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2379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grafi'!$Q$269:$U$269</c:f>
              <c:numCache>
                <c:formatCode>0.00</c:formatCode>
                <c:ptCount val="5"/>
                <c:pt idx="0">
                  <c:v>391.45181744225425</c:v>
                </c:pt>
                <c:pt idx="1">
                  <c:v>410.92124747889102</c:v>
                </c:pt>
                <c:pt idx="2">
                  <c:v>462.01882171554445</c:v>
                </c:pt>
                <c:pt idx="3">
                  <c:v>491.27370627803504</c:v>
                </c:pt>
                <c:pt idx="4">
                  <c:v>521.50510904930752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E-4F07-8701-87EBA28AB621}"/>
            </c:ext>
          </c:extLst>
        </c:ser>
        <c:ser>
          <c:idx val="4"/>
          <c:order val="1"/>
          <c:tx>
            <c:strRef>
              <c:f>'PODATKI grafi'!$P$270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grafi'!$Q$270:$U$270</c:f>
              <c:numCache>
                <c:formatCode>0.00</c:formatCode>
                <c:ptCount val="5"/>
                <c:pt idx="0">
                  <c:v>67.191087230561493</c:v>
                </c:pt>
                <c:pt idx="1">
                  <c:v>70.76415227617332</c:v>
                </c:pt>
                <c:pt idx="2">
                  <c:v>80.292325731137964</c:v>
                </c:pt>
                <c:pt idx="3">
                  <c:v>86.842944981426228</c:v>
                </c:pt>
                <c:pt idx="4">
                  <c:v>94.275730108243465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E-4F07-8701-87EBA28AB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800"/>
        <c:axId val="162255936"/>
      </c:areaChart>
      <c:lineChart>
        <c:grouping val="standard"/>
        <c:varyColors val="0"/>
        <c:ser>
          <c:idx val="5"/>
          <c:order val="5"/>
          <c:tx>
            <c:strRef>
              <c:f>'PODATKI grafi'!$P$272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grafi'!$Q$272:$U$272</c:f>
              <c:numCache>
                <c:formatCode>0.000</c:formatCode>
                <c:ptCount val="5"/>
                <c:pt idx="0">
                  <c:v>640.99999999999989</c:v>
                </c:pt>
                <c:pt idx="1">
                  <c:v>640.99999999999989</c:v>
                </c:pt>
                <c:pt idx="2">
                  <c:v>640.99999999999989</c:v>
                </c:pt>
                <c:pt idx="3">
                  <c:v>640.99999999999989</c:v>
                </c:pt>
                <c:pt idx="4">
                  <c:v>640.99999999999989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E-4F07-8701-87EBA28AB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80800"/>
        <c:axId val="162255936"/>
      </c:lineChart>
      <c:lineChart>
        <c:grouping val="standard"/>
        <c:varyColors val="0"/>
        <c:ser>
          <c:idx val="0"/>
          <c:order val="2"/>
          <c:tx>
            <c:strRef>
              <c:f>'PODATKI grafi'!$P$267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grafi'!$Q$267:$U$267</c:f>
              <c:numCache>
                <c:formatCode>0.00</c:formatCode>
                <c:ptCount val="5"/>
                <c:pt idx="0">
                  <c:v>458.64290467281575</c:v>
                </c:pt>
                <c:pt idx="1">
                  <c:v>481.68539975506434</c:v>
                </c:pt>
                <c:pt idx="2">
                  <c:v>542.31114744668241</c:v>
                </c:pt>
                <c:pt idx="3">
                  <c:v>578.11665125946126</c:v>
                </c:pt>
                <c:pt idx="4">
                  <c:v>615.78083915755099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4E-4F07-8701-87EBA28AB621}"/>
            </c:ext>
          </c:extLst>
        </c:ser>
        <c:ser>
          <c:idx val="1"/>
          <c:order val="3"/>
          <c:tx>
            <c:strRef>
              <c:f>'PODATKI grafi'!$P$268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grafi'!$Q$268:$U$268</c:f>
              <c:numCache>
                <c:formatCode>0.00</c:formatCode>
                <c:ptCount val="5"/>
                <c:pt idx="0">
                  <c:v>439.89830445818711</c:v>
                </c:pt>
                <c:pt idx="1">
                  <c:v>461.9440054925729</c:v>
                </c:pt>
                <c:pt idx="2">
                  <c:v>519.91163572322341</c:v>
                </c:pt>
                <c:pt idx="3">
                  <c:v>553.889683781587</c:v>
                </c:pt>
                <c:pt idx="4">
                  <c:v>589.48031413765716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4E-4F07-8701-87EBA28AB621}"/>
            </c:ext>
          </c:extLst>
        </c:ser>
        <c:ser>
          <c:idx val="2"/>
          <c:order val="4"/>
          <c:tx>
            <c:strRef>
              <c:f>'PODATKI grafi'!$P$269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grafi'!$Q$269:$U$269</c:f>
              <c:numCache>
                <c:formatCode>0.00</c:formatCode>
                <c:ptCount val="5"/>
                <c:pt idx="0">
                  <c:v>391.45181744225425</c:v>
                </c:pt>
                <c:pt idx="1">
                  <c:v>410.92124747889102</c:v>
                </c:pt>
                <c:pt idx="2">
                  <c:v>462.01882171554445</c:v>
                </c:pt>
                <c:pt idx="3">
                  <c:v>491.27370627803504</c:v>
                </c:pt>
                <c:pt idx="4">
                  <c:v>521.50510904930752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4E-4F07-8701-87EBA28AB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78752"/>
        <c:axId val="162256512"/>
      </c:lineChart>
      <c:catAx>
        <c:axId val="162380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225593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2255936"/>
        <c:scaling>
          <c:orientation val="minMax"/>
          <c:max val="550"/>
          <c:min val="1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2380800"/>
        <c:crosses val="autoZero"/>
        <c:crossBetween val="midCat"/>
        <c:majorUnit val="50"/>
      </c:valAx>
      <c:catAx>
        <c:axId val="16237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2256512"/>
        <c:crossesAt val="25"/>
        <c:auto val="1"/>
        <c:lblAlgn val="ctr"/>
        <c:lblOffset val="100"/>
        <c:noMultiLvlLbl val="0"/>
      </c:catAx>
      <c:valAx>
        <c:axId val="162256512"/>
        <c:scaling>
          <c:orientation val="minMax"/>
          <c:max val="550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2378752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grafi'!$J$260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grafi'!$Q$260:$U$260</c:f>
              <c:numCache>
                <c:formatCode>0</c:formatCode>
                <c:ptCount val="5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  <c:pt idx="4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E-4296-A0C0-3BF4E6BA9280}"/>
            </c:ext>
          </c:extLst>
        </c:ser>
        <c:ser>
          <c:idx val="1"/>
          <c:order val="2"/>
          <c:tx>
            <c:strRef>
              <c:f>'PODATKI grafi'!$J$261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grafi'!$Q$261:$U$261</c:f>
              <c:numCache>
                <c:formatCode>0</c:formatCode>
                <c:ptCount val="5"/>
                <c:pt idx="0">
                  <c:v>38459.999999999993</c:v>
                </c:pt>
                <c:pt idx="1">
                  <c:v>35254.999999999993</c:v>
                </c:pt>
                <c:pt idx="2">
                  <c:v>28844.999999999996</c:v>
                </c:pt>
                <c:pt idx="3">
                  <c:v>25639.999999999996</c:v>
                </c:pt>
                <c:pt idx="4">
                  <c:v>22434.999999999996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9E-4296-A0C0-3BF4E6BA9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381312"/>
        <c:axId val="162709504"/>
      </c:barChart>
      <c:lineChart>
        <c:grouping val="standard"/>
        <c:varyColors val="0"/>
        <c:ser>
          <c:idx val="2"/>
          <c:order val="1"/>
          <c:tx>
            <c:strRef>
              <c:f>'PODATKI grafi'!$J$273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grafi'!$Q$273:$U$273</c:f>
              <c:numCache>
                <c:formatCode>#,##0.0</c:formatCode>
                <c:ptCount val="5"/>
                <c:pt idx="0">
                  <c:v>25947.130267688957</c:v>
                </c:pt>
                <c:pt idx="1">
                  <c:v>23325.683126422016</c:v>
                </c:pt>
                <c:pt idx="2">
                  <c:v>18119.14731888815</c:v>
                </c:pt>
                <c:pt idx="3">
                  <c:v>15747.101427621212</c:v>
                </c:pt>
                <c:pt idx="4">
                  <c:v>13550.525553269246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9E-4296-A0C0-3BF4E6BA9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81312"/>
        <c:axId val="162709504"/>
      </c:lineChart>
      <c:catAx>
        <c:axId val="162381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2709504"/>
        <c:crosses val="autoZero"/>
        <c:auto val="1"/>
        <c:lblAlgn val="ctr"/>
        <c:lblOffset val="100"/>
        <c:noMultiLvlLbl val="0"/>
      </c:catAx>
      <c:valAx>
        <c:axId val="162709504"/>
        <c:scaling>
          <c:orientation val="minMax"/>
          <c:max val="4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2381312"/>
        <c:crosses val="autoZero"/>
        <c:crossBetween val="between"/>
        <c:majorUnit val="50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grafi'!$Q$306:$U$306</c:f>
              <c:numCache>
                <c:formatCode>0.00</c:formatCode>
                <c:ptCount val="5"/>
                <c:pt idx="0">
                  <c:v>474.8301193923503</c:v>
                </c:pt>
                <c:pt idx="1">
                  <c:v>514.50017631983962</c:v>
                </c:pt>
                <c:pt idx="2">
                  <c:v>555.5162633472529</c:v>
                </c:pt>
                <c:pt idx="3">
                  <c:v>610.2343367641987</c:v>
                </c:pt>
                <c:pt idx="4">
                  <c:v>682.16729995104049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A-41CC-9575-A4BD9AFA1695}"/>
            </c:ext>
          </c:extLst>
        </c:ser>
        <c:ser>
          <c:idx val="4"/>
          <c:order val="1"/>
          <c:tx>
            <c:strRef>
              <c:f>'PODATKI grafi'!$P$307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grafi'!$Q$307:$U$307</c:f>
              <c:numCache>
                <c:formatCode>0.00</c:formatCode>
                <c:ptCount val="5"/>
                <c:pt idx="0">
                  <c:v>77.548480362262467</c:v>
                </c:pt>
                <c:pt idx="1">
                  <c:v>84.642924452752595</c:v>
                </c:pt>
                <c:pt idx="2">
                  <c:v>93.5250101263332</c:v>
                </c:pt>
                <c:pt idx="3">
                  <c:v>106.65253780583328</c:v>
                </c:pt>
                <c:pt idx="4">
                  <c:v>126.34382932508356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AA-41CC-9575-A4BD9AFA1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944000"/>
        <c:axId val="162711808"/>
      </c:areaChart>
      <c:lineChart>
        <c:grouping val="standard"/>
        <c:varyColors val="0"/>
        <c:ser>
          <c:idx val="5"/>
          <c:order val="5"/>
          <c:tx>
            <c:strRef>
              <c:f>'PODATKI grafi'!$P$309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grafi'!$Q$309:$U$309</c:f>
              <c:numCache>
                <c:formatCode>0.000</c:formatCode>
                <c:ptCount val="5"/>
                <c:pt idx="0">
                  <c:v>1414.0000000000002</c:v>
                </c:pt>
                <c:pt idx="1">
                  <c:v>1414.0000000000002</c:v>
                </c:pt>
                <c:pt idx="2">
                  <c:v>1414.0000000000002</c:v>
                </c:pt>
                <c:pt idx="3">
                  <c:v>1414.0000000000005</c:v>
                </c:pt>
                <c:pt idx="4">
                  <c:v>1414.0000000000002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AA-41CC-9575-A4BD9AFA1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44000"/>
        <c:axId val="162711808"/>
      </c:lineChart>
      <c:lineChart>
        <c:grouping val="standard"/>
        <c:varyColors val="0"/>
        <c:ser>
          <c:idx val="0"/>
          <c:order val="2"/>
          <c:tx>
            <c:strRef>
              <c:f>'PODATKI grafi'!$P$304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grafi'!$Q$304:$U$304</c:f>
              <c:numCache>
                <c:formatCode>0.00</c:formatCode>
                <c:ptCount val="5"/>
                <c:pt idx="0">
                  <c:v>552.37859975461276</c:v>
                </c:pt>
                <c:pt idx="1">
                  <c:v>599.14310077259222</c:v>
                </c:pt>
                <c:pt idx="2">
                  <c:v>649.0412734735861</c:v>
                </c:pt>
                <c:pt idx="3">
                  <c:v>716.88687457003198</c:v>
                </c:pt>
                <c:pt idx="4">
                  <c:v>808.51112927612405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AA-41CC-9575-A4BD9AFA1695}"/>
            </c:ext>
          </c:extLst>
        </c:ser>
        <c:ser>
          <c:idx val="1"/>
          <c:order val="3"/>
          <c:tx>
            <c:strRef>
              <c:f>'PODATKI grafi'!$P$305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grafi'!$Q$305:$U$305</c:f>
              <c:numCache>
                <c:formatCode>0.00</c:formatCode>
                <c:ptCount val="5"/>
                <c:pt idx="0">
                  <c:v>530.74455093122333</c:v>
                </c:pt>
                <c:pt idx="1">
                  <c:v>575.52988292988096</c:v>
                </c:pt>
                <c:pt idx="2">
                  <c:v>622.95018018807923</c:v>
                </c:pt>
                <c:pt idx="3">
                  <c:v>687.13353576505131</c:v>
                </c:pt>
                <c:pt idx="4">
                  <c:v>773.26442219193257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BAA-41CC-9575-A4BD9AFA1695}"/>
            </c:ext>
          </c:extLst>
        </c:ser>
        <c:ser>
          <c:idx val="2"/>
          <c:order val="4"/>
          <c:tx>
            <c:strRef>
              <c:f>'PODATKI grafi'!$P$306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grafi'!$Q$306:$U$306</c:f>
              <c:numCache>
                <c:formatCode>0.00</c:formatCode>
                <c:ptCount val="5"/>
                <c:pt idx="0">
                  <c:v>474.8301193923503</c:v>
                </c:pt>
                <c:pt idx="1">
                  <c:v>514.50017631983962</c:v>
                </c:pt>
                <c:pt idx="2">
                  <c:v>555.5162633472529</c:v>
                </c:pt>
                <c:pt idx="3">
                  <c:v>610.2343367641987</c:v>
                </c:pt>
                <c:pt idx="4">
                  <c:v>682.16729995104049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BAA-41CC-9575-A4BD9AFA1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92448"/>
        <c:axId val="162712384"/>
      </c:lineChart>
      <c:catAx>
        <c:axId val="162944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271180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2711808"/>
        <c:scaling>
          <c:orientation val="minMax"/>
          <c:max val="1100"/>
          <c:min val="2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2944000"/>
        <c:crosses val="autoZero"/>
        <c:crossBetween val="midCat"/>
      </c:valAx>
      <c:catAx>
        <c:axId val="15639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2712384"/>
        <c:crossesAt val="25"/>
        <c:auto val="1"/>
        <c:lblAlgn val="ctr"/>
        <c:lblOffset val="100"/>
        <c:noMultiLvlLbl val="0"/>
      </c:catAx>
      <c:valAx>
        <c:axId val="162712384"/>
        <c:scaling>
          <c:orientation val="minMax"/>
          <c:max val="1100"/>
          <c:min val="2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56392448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287972996705445"/>
          <c:y val="0.21023708825424453"/>
          <c:w val="0.59436614448351188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grafi'!$J$297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grafi'!$Q$297:$U$297</c:f>
              <c:numCache>
                <c:formatCode>0</c:formatCode>
                <c:ptCount val="5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  <c:pt idx="4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5-4E26-9BA4-FB477956A995}"/>
            </c:ext>
          </c:extLst>
        </c:ser>
        <c:ser>
          <c:idx val="1"/>
          <c:order val="2"/>
          <c:tx>
            <c:strRef>
              <c:f>'PODATKI grafi'!$J$298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grafi'!$Q$298:$U$298</c:f>
              <c:numCache>
                <c:formatCode>0</c:formatCode>
                <c:ptCount val="5"/>
                <c:pt idx="0">
                  <c:v>56560.000000000007</c:v>
                </c:pt>
                <c:pt idx="1">
                  <c:v>49490.000000000007</c:v>
                </c:pt>
                <c:pt idx="2">
                  <c:v>42420.000000000007</c:v>
                </c:pt>
                <c:pt idx="3">
                  <c:v>35350.000000000007</c:v>
                </c:pt>
                <c:pt idx="4">
                  <c:v>28280.000000000004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5-4E26-9BA4-FB477956A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945024"/>
        <c:axId val="162714688"/>
      </c:barChart>
      <c:lineChart>
        <c:grouping val="standard"/>
        <c:varyColors val="0"/>
        <c:ser>
          <c:idx val="2"/>
          <c:order val="1"/>
          <c:tx>
            <c:strRef>
              <c:f>'PODATKI grafi'!$J$310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grafi'!$Q$310:$U$310</c:f>
              <c:numCache>
                <c:formatCode>#,##0.0</c:formatCode>
                <c:ptCount val="5"/>
                <c:pt idx="0">
                  <c:v>46263.419141319464</c:v>
                </c:pt>
                <c:pt idx="1">
                  <c:v>39848.972000052534</c:v>
                </c:pt>
                <c:pt idx="2">
                  <c:v>33745.990153443083</c:v>
                </c:pt>
                <c:pt idx="3">
                  <c:v>27749.541889776141</c:v>
                </c:pt>
                <c:pt idx="4">
                  <c:v>21953.4991189092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B5-4E26-9BA4-FB477956A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45024"/>
        <c:axId val="162714688"/>
      </c:lineChart>
      <c:catAx>
        <c:axId val="16294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2714688"/>
        <c:crosses val="autoZero"/>
        <c:auto val="1"/>
        <c:lblAlgn val="ctr"/>
        <c:lblOffset val="100"/>
        <c:noMultiLvlLbl val="0"/>
      </c:catAx>
      <c:valAx>
        <c:axId val="1627146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2945024"/>
        <c:crosses val="autoZero"/>
        <c:crossBetween val="between"/>
        <c:majorUnit val="50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grafi'!$Q$340:$U$340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grafi'!$Q$343:$T$343</c:f>
              <c:numCache>
                <c:formatCode>0.00</c:formatCode>
                <c:ptCount val="4"/>
                <c:pt idx="0">
                  <c:v>720.35813376522458</c:v>
                </c:pt>
                <c:pt idx="1">
                  <c:v>791.01066233993436</c:v>
                </c:pt>
                <c:pt idx="2">
                  <c:v>893.02825677187604</c:v>
                </c:pt>
                <c:pt idx="3">
                  <c:v>1065.4824764317273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6-46E5-B07A-4EF7F8D4DE4D}"/>
            </c:ext>
          </c:extLst>
        </c:ser>
        <c:ser>
          <c:idx val="4"/>
          <c:order val="1"/>
          <c:tx>
            <c:strRef>
              <c:f>'PODATKI grafi'!$P$344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grafi'!$Q$340:$U$340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grafi'!$Q$344:$T$344</c:f>
              <c:numCache>
                <c:formatCode>0.00</c:formatCode>
                <c:ptCount val="4"/>
                <c:pt idx="0">
                  <c:v>113.33495685303058</c:v>
                </c:pt>
                <c:pt idx="1">
                  <c:v>125.85272816668237</c:v>
                </c:pt>
                <c:pt idx="2">
                  <c:v>142.86397046758691</c:v>
                </c:pt>
                <c:pt idx="3">
                  <c:v>173.52473342405187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F6-46E5-B07A-4EF7F8D4D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944512"/>
        <c:axId val="163045952"/>
      </c:areaChart>
      <c:lineChart>
        <c:grouping val="standard"/>
        <c:varyColors val="0"/>
        <c:ser>
          <c:idx val="5"/>
          <c:order val="5"/>
          <c:tx>
            <c:strRef>
              <c:f>'PODATKI grafi'!$P$346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grafi'!$Q$346:$T$346</c:f>
              <c:numCache>
                <c:formatCode>0.000</c:formatCode>
                <c:ptCount val="4"/>
                <c:pt idx="0">
                  <c:v>1671</c:v>
                </c:pt>
                <c:pt idx="1">
                  <c:v>1671</c:v>
                </c:pt>
                <c:pt idx="2">
                  <c:v>1671</c:v>
                </c:pt>
                <c:pt idx="3">
                  <c:v>1671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F6-46E5-B07A-4EF7F8D4D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44512"/>
        <c:axId val="163045952"/>
      </c:lineChart>
      <c:lineChart>
        <c:grouping val="standard"/>
        <c:varyColors val="0"/>
        <c:ser>
          <c:idx val="0"/>
          <c:order val="2"/>
          <c:tx>
            <c:strRef>
              <c:f>'PODATKI grafi'!$P$341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grafi'!$Q$341:$T$341</c:f>
              <c:numCache>
                <c:formatCode>0.00</c:formatCode>
                <c:ptCount val="4"/>
                <c:pt idx="0">
                  <c:v>833.69309061825516</c:v>
                </c:pt>
                <c:pt idx="1">
                  <c:v>916.86339050661672</c:v>
                </c:pt>
                <c:pt idx="2">
                  <c:v>1035.892227239463</c:v>
                </c:pt>
                <c:pt idx="3">
                  <c:v>1239.0072098557791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F6-46E5-B07A-4EF7F8D4DE4D}"/>
            </c:ext>
          </c:extLst>
        </c:ser>
        <c:ser>
          <c:idx val="1"/>
          <c:order val="3"/>
          <c:tx>
            <c:strRef>
              <c:f>'PODATKI grafi'!$P$342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grafi'!$Q$342:$T$342</c:f>
              <c:numCache>
                <c:formatCode>0.00</c:formatCode>
                <c:ptCount val="4"/>
                <c:pt idx="0">
                  <c:v>802.07552727592588</c:v>
                </c:pt>
                <c:pt idx="1">
                  <c:v>881.75368812436693</c:v>
                </c:pt>
                <c:pt idx="2">
                  <c:v>996.03682197863873</c:v>
                </c:pt>
                <c:pt idx="3">
                  <c:v>1190.5982334654639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F6-46E5-B07A-4EF7F8D4DE4D}"/>
            </c:ext>
          </c:extLst>
        </c:ser>
        <c:ser>
          <c:idx val="2"/>
          <c:order val="4"/>
          <c:tx>
            <c:strRef>
              <c:f>'PODATKI grafi'!$P$343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grafi'!$Q$343:$T$343</c:f>
              <c:numCache>
                <c:formatCode>0.00</c:formatCode>
                <c:ptCount val="4"/>
                <c:pt idx="0">
                  <c:v>720.35813376522458</c:v>
                </c:pt>
                <c:pt idx="1">
                  <c:v>791.01066233993436</c:v>
                </c:pt>
                <c:pt idx="2">
                  <c:v>893.02825677187604</c:v>
                </c:pt>
                <c:pt idx="3">
                  <c:v>1065.4824764317273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4F6-46E5-B07A-4EF7F8D4D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05664"/>
        <c:axId val="163046528"/>
      </c:lineChart>
      <c:catAx>
        <c:axId val="16294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304595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3045952"/>
        <c:scaling>
          <c:orientation val="minMax"/>
          <c:max val="1000"/>
          <c:min val="2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2944512"/>
        <c:crosses val="autoZero"/>
        <c:crossBetween val="midCat"/>
      </c:valAx>
      <c:catAx>
        <c:axId val="163505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3046528"/>
        <c:crossesAt val="25"/>
        <c:auto val="1"/>
        <c:lblAlgn val="ctr"/>
        <c:lblOffset val="100"/>
        <c:noMultiLvlLbl val="0"/>
      </c:catAx>
      <c:valAx>
        <c:axId val="163046528"/>
        <c:scaling>
          <c:orientation val="minMax"/>
          <c:max val="1000"/>
          <c:min val="2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3505664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9456707049859345"/>
          <c:y val="0.5625215572757715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grafi'!$J$334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grafi'!$Q$334:$T$334</c:f>
              <c:numCache>
                <c:formatCode>0</c:formatCode>
                <c:ptCount val="4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C-477D-BB93-D4CE957FFE6A}"/>
            </c:ext>
          </c:extLst>
        </c:ser>
        <c:ser>
          <c:idx val="1"/>
          <c:order val="2"/>
          <c:tx>
            <c:strRef>
              <c:f>'PODATKI grafi'!$J$335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grafi'!$Q$335:$T$335</c:f>
              <c:numCache>
                <c:formatCode>0</c:formatCode>
                <c:ptCount val="4"/>
                <c:pt idx="0">
                  <c:v>50130</c:v>
                </c:pt>
                <c:pt idx="1">
                  <c:v>41775</c:v>
                </c:pt>
                <c:pt idx="2">
                  <c:v>33420</c:v>
                </c:pt>
                <c:pt idx="3">
                  <c:v>25065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5C-477D-BB93-D4CE957FF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504128"/>
        <c:axId val="163048256"/>
      </c:barChart>
      <c:lineChart>
        <c:grouping val="standard"/>
        <c:varyColors val="0"/>
        <c:ser>
          <c:idx val="2"/>
          <c:order val="1"/>
          <c:tx>
            <c:strRef>
              <c:f>'PODATKI grafi'!$J$310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grafi'!$Q$347:$T$347</c:f>
              <c:numCache>
                <c:formatCode>#,##0.0</c:formatCode>
                <c:ptCount val="4"/>
                <c:pt idx="0">
                  <c:v>38738.35239348832</c:v>
                </c:pt>
                <c:pt idx="1">
                  <c:v>31810.564867945919</c:v>
                </c:pt>
                <c:pt idx="2">
                  <c:v>24880.10300646297</c:v>
                </c:pt>
                <c:pt idx="3">
                  <c:v>17993.286941565049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5C-477D-BB93-D4CE957FF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04128"/>
        <c:axId val="163048256"/>
      </c:lineChart>
      <c:catAx>
        <c:axId val="16350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33801437115442534"/>
              <c:y val="0.7821383041405538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63048256"/>
        <c:crosses val="autoZero"/>
        <c:auto val="1"/>
        <c:lblAlgn val="ctr"/>
        <c:lblOffset val="100"/>
        <c:noMultiLvlLbl val="0"/>
      </c:catAx>
      <c:valAx>
        <c:axId val="163048256"/>
        <c:scaling>
          <c:orientation val="minMax"/>
          <c:max val="4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3504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grafi'!$Q$380:$V$380</c:f>
              <c:numCache>
                <c:formatCode>0.00</c:formatCode>
                <c:ptCount val="6"/>
                <c:pt idx="0">
                  <c:v>845.04751653070616</c:v>
                </c:pt>
                <c:pt idx="1">
                  <c:v>982.03774632188617</c:v>
                </c:pt>
                <c:pt idx="2">
                  <c:v>1175.1949636354104</c:v>
                </c:pt>
                <c:pt idx="3">
                  <c:v>1309.4394485948826</c:v>
                </c:pt>
                <c:pt idx="4">
                  <c:v>1029.3948166584416</c:v>
                </c:pt>
                <c:pt idx="5">
                  <c:v>1135.2965806256577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2-44B4-88C1-7635FDE88B88}"/>
            </c:ext>
          </c:extLst>
        </c:ser>
        <c:ser>
          <c:idx val="4"/>
          <c:order val="1"/>
          <c:tx>
            <c:strRef>
              <c:f>'PODATKI grafi'!$P$381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grafi'!$Q$381:$V$381</c:f>
              <c:numCache>
                <c:formatCode>0.00</c:formatCode>
                <c:ptCount val="6"/>
                <c:pt idx="0">
                  <c:v>169.48860626791588</c:v>
                </c:pt>
                <c:pt idx="1">
                  <c:v>197.02397112053552</c:v>
                </c:pt>
                <c:pt idx="2">
                  <c:v>238.21349344696273</c:v>
                </c:pt>
                <c:pt idx="3">
                  <c:v>267.6812087901842</c:v>
                </c:pt>
                <c:pt idx="4">
                  <c:v>215.15480396002158</c:v>
                </c:pt>
                <c:pt idx="5">
                  <c:v>237.9849808400586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2-44B4-88C1-7635FDE88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295232"/>
        <c:axId val="163050560"/>
      </c:areaChart>
      <c:lineChart>
        <c:grouping val="standard"/>
        <c:varyColors val="0"/>
        <c:ser>
          <c:idx val="5"/>
          <c:order val="5"/>
          <c:tx>
            <c:strRef>
              <c:f>'PODATKI grafi'!$P$383</c:f>
              <c:strCache>
                <c:ptCount val="1"/>
                <c:pt idx="0">
                  <c:v>Odkupna cena; ocena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grafi'!$Q$383:$V$383</c:f>
              <c:numCache>
                <c:formatCode>0.000</c:formatCode>
                <c:ptCount val="6"/>
                <c:pt idx="0">
                  <c:v>690</c:v>
                </c:pt>
                <c:pt idx="1">
                  <c:v>690</c:v>
                </c:pt>
                <c:pt idx="2">
                  <c:v>690</c:v>
                </c:pt>
                <c:pt idx="3">
                  <c:v>690</c:v>
                </c:pt>
                <c:pt idx="4">
                  <c:v>690</c:v>
                </c:pt>
                <c:pt idx="5">
                  <c:v>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62-44B4-88C1-7635FDE88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95232"/>
        <c:axId val="163050560"/>
      </c:lineChart>
      <c:lineChart>
        <c:grouping val="standard"/>
        <c:varyColors val="0"/>
        <c:ser>
          <c:idx val="0"/>
          <c:order val="2"/>
          <c:tx>
            <c:strRef>
              <c:f>'PODATKI grafi'!$P$378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grafi'!$Q$378:$V$378</c:f>
              <c:numCache>
                <c:formatCode>0.00</c:formatCode>
                <c:ptCount val="6"/>
                <c:pt idx="0">
                  <c:v>1014.536122798622</c:v>
                </c:pt>
                <c:pt idx="1">
                  <c:v>1179.0617174424217</c:v>
                </c:pt>
                <c:pt idx="2">
                  <c:v>1413.4084570823732</c:v>
                </c:pt>
                <c:pt idx="3">
                  <c:v>1577.1206573850668</c:v>
                </c:pt>
                <c:pt idx="4">
                  <c:v>1244.5496206184632</c:v>
                </c:pt>
                <c:pt idx="5">
                  <c:v>1373.2815614657163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62-44B4-88C1-7635FDE88B88}"/>
            </c:ext>
          </c:extLst>
        </c:ser>
        <c:ser>
          <c:idx val="1"/>
          <c:order val="3"/>
          <c:tx>
            <c:strRef>
              <c:f>'PODATKI grafi'!$P$379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grafi'!$Q$379:$V$379</c:f>
              <c:numCache>
                <c:formatCode>0.00</c:formatCode>
                <c:ptCount val="6"/>
                <c:pt idx="0">
                  <c:v>967.25312297864525</c:v>
                </c:pt>
                <c:pt idx="1">
                  <c:v>1124.0970528779053</c:v>
                </c:pt>
                <c:pt idx="2">
                  <c:v>1346.9529659683317</c:v>
                </c:pt>
                <c:pt idx="3">
                  <c:v>1502.4444250073545</c:v>
                </c:pt>
                <c:pt idx="4">
                  <c:v>1184.5269159605004</c:v>
                </c:pt>
                <c:pt idx="5">
                  <c:v>1306.8898195427798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62-44B4-88C1-7635FDE88B88}"/>
            </c:ext>
          </c:extLst>
        </c:ser>
        <c:ser>
          <c:idx val="2"/>
          <c:order val="4"/>
          <c:tx>
            <c:strRef>
              <c:f>'PODATKI grafi'!$P$380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grafi'!$Q$380:$V$380</c:f>
              <c:numCache>
                <c:formatCode>0.00</c:formatCode>
                <c:ptCount val="6"/>
                <c:pt idx="0">
                  <c:v>845.04751653070616</c:v>
                </c:pt>
                <c:pt idx="1">
                  <c:v>982.03774632188617</c:v>
                </c:pt>
                <c:pt idx="2">
                  <c:v>1175.1949636354104</c:v>
                </c:pt>
                <c:pt idx="3">
                  <c:v>1309.4394485948826</c:v>
                </c:pt>
                <c:pt idx="4">
                  <c:v>1029.3948166584416</c:v>
                </c:pt>
                <c:pt idx="5">
                  <c:v>1135.2965806256577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62-44B4-88C1-7635FDE88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95744"/>
        <c:axId val="163051136"/>
      </c:lineChart>
      <c:catAx>
        <c:axId val="163295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 b="0" i="0" u="none" strike="noStrike" baseline="0">
                    <a:effectLst/>
                  </a:rPr>
                  <a:t>Število trsov (kos/ha)</a:t>
                </a:r>
                <a:r>
                  <a:rPr lang="sl-SI" sz="1000"/>
                  <a:t>; Pridelek na trs (kg/kos)</a:t>
                </a:r>
                <a:r>
                  <a:rPr lang="sl-SI" sz="1000" baseline="0"/>
                  <a:t> </a:t>
                </a:r>
                <a:endParaRPr lang="sl-SI" sz="1000"/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305056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3050560"/>
        <c:scaling>
          <c:orientation val="minMax"/>
          <c:max val="14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3295232"/>
        <c:crosses val="autoZero"/>
        <c:crossBetween val="midCat"/>
        <c:majorUnit val="200"/>
      </c:valAx>
      <c:catAx>
        <c:axId val="16329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3051136"/>
        <c:crossesAt val="25"/>
        <c:auto val="1"/>
        <c:lblAlgn val="ctr"/>
        <c:lblOffset val="100"/>
        <c:noMultiLvlLbl val="0"/>
      </c:catAx>
      <c:valAx>
        <c:axId val="16305113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3295744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grafi'!$J$371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grafi'!$Q$371:$V$371</c:f>
              <c:numCache>
                <c:formatCode>0</c:formatCode>
                <c:ptCount val="6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  <c:pt idx="4">
                  <c:v>23.94</c:v>
                </c:pt>
                <c:pt idx="5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A-4BBD-8FD6-03E489AA2835}"/>
            </c:ext>
          </c:extLst>
        </c:ser>
        <c:ser>
          <c:idx val="1"/>
          <c:order val="2"/>
          <c:tx>
            <c:strRef>
              <c:f>'PODATKI grafi'!$J$372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grafi'!$Q$372:$V$372</c:f>
              <c:numCache>
                <c:formatCode>0</c:formatCode>
                <c:ptCount val="6"/>
                <c:pt idx="0">
                  <c:v>8280</c:v>
                </c:pt>
                <c:pt idx="1">
                  <c:v>6899.9999999999991</c:v>
                </c:pt>
                <c:pt idx="2">
                  <c:v>5520</c:v>
                </c:pt>
                <c:pt idx="3">
                  <c:v>4830</c:v>
                </c:pt>
                <c:pt idx="4">
                  <c:v>6986.2499999999991</c:v>
                </c:pt>
                <c:pt idx="5">
                  <c:v>6209.9999999999991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5A-4BBD-8FD6-03E489AA2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296768"/>
        <c:axId val="163052864"/>
      </c:barChart>
      <c:lineChart>
        <c:grouping val="standard"/>
        <c:varyColors val="0"/>
        <c:ser>
          <c:idx val="2"/>
          <c:order val="1"/>
          <c:tx>
            <c:strRef>
              <c:f>'PODATKI grafi'!$J$384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grafi'!$Q$384:$V$384</c:f>
              <c:numCache>
                <c:formatCode>#,##0.0</c:formatCode>
                <c:ptCount val="6"/>
                <c:pt idx="0">
                  <c:v>3597.646208020722</c:v>
                </c:pt>
                <c:pt idx="1">
                  <c:v>2433.6194721472775</c:v>
                </c:pt>
                <c:pt idx="2">
                  <c:v>1365.2937190621824</c:v>
                </c:pt>
                <c:pt idx="3">
                  <c:v>857.56878651030274</c:v>
                </c:pt>
                <c:pt idx="4">
                  <c:v>2352.2829472173253</c:v>
                </c:pt>
                <c:pt idx="5">
                  <c:v>1720.5014166167921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5A-4BBD-8FD6-03E489AA2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96768"/>
        <c:axId val="163052864"/>
      </c:lineChart>
      <c:catAx>
        <c:axId val="16329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sl-SI" sz="1000" b="0"/>
                  <a:t>Število</a:t>
                </a:r>
                <a:r>
                  <a:rPr lang="sl-SI" sz="1000" b="0" baseline="0"/>
                  <a:t> trsov (kos/ha</a:t>
                </a:r>
                <a:r>
                  <a:rPr lang="en-US" sz="1000" b="0"/>
                  <a:t>); </a:t>
                </a:r>
                <a:r>
                  <a:rPr lang="sl-SI" sz="1000" b="0"/>
                  <a:t>Pridelek</a:t>
                </a:r>
                <a:r>
                  <a:rPr lang="sl-SI" sz="1000" b="0" baseline="0"/>
                  <a:t> na trs (kg/kos)</a:t>
                </a:r>
                <a:endParaRPr lang="en-US" sz="1000" b="0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3052864"/>
        <c:crosses val="autoZero"/>
        <c:auto val="1"/>
        <c:lblAlgn val="ctr"/>
        <c:lblOffset val="100"/>
        <c:noMultiLvlLbl val="0"/>
      </c:catAx>
      <c:valAx>
        <c:axId val="163052864"/>
        <c:scaling>
          <c:orientation val="minMax"/>
          <c:max val="8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3296768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grafi'!$Q$417:$V$417</c:f>
              <c:numCache>
                <c:formatCode>0.00</c:formatCode>
                <c:ptCount val="6"/>
                <c:pt idx="0">
                  <c:v>739.75642877812538</c:v>
                </c:pt>
                <c:pt idx="1">
                  <c:v>858.52950059719831</c:v>
                </c:pt>
                <c:pt idx="2">
                  <c:v>935.09771637927713</c:v>
                </c:pt>
                <c:pt idx="3">
                  <c:v>1029.7063576774945</c:v>
                </c:pt>
                <c:pt idx="4">
                  <c:v>966.42974758626156</c:v>
                </c:pt>
                <c:pt idx="5">
                  <c:v>903.76568517229282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1C-40F8-B897-1755C2E7EEDD}"/>
            </c:ext>
          </c:extLst>
        </c:ser>
        <c:ser>
          <c:idx val="4"/>
          <c:order val="1"/>
          <c:tx>
            <c:strRef>
              <c:f>'PODATKI grafi'!$P$418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grafi'!$Q$418:$V$418</c:f>
              <c:numCache>
                <c:formatCode>0.00</c:formatCode>
                <c:ptCount val="6"/>
                <c:pt idx="0">
                  <c:v>123.6341495796039</c:v>
                </c:pt>
                <c:pt idx="1">
                  <c:v>143.54359958972111</c:v>
                </c:pt>
                <c:pt idx="2">
                  <c:v>156.72984453197489</c:v>
                </c:pt>
                <c:pt idx="3">
                  <c:v>173.29424965239468</c:v>
                </c:pt>
                <c:pt idx="4">
                  <c:v>168.21451661653987</c:v>
                </c:pt>
                <c:pt idx="5">
                  <c:v>145.24517244740957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1C-40F8-B897-1755C2E7E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864576"/>
        <c:axId val="163399360"/>
      </c:areaChart>
      <c:lineChart>
        <c:grouping val="standard"/>
        <c:varyColors val="0"/>
        <c:ser>
          <c:idx val="5"/>
          <c:order val="5"/>
          <c:tx>
            <c:strRef>
              <c:f>'PODATKI grafi'!$P$420</c:f>
              <c:strCache>
                <c:ptCount val="1"/>
                <c:pt idx="0">
                  <c:v>Odkupna cena; ocena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grafi'!$Q$420:$V$420</c:f>
              <c:numCache>
                <c:formatCode>0.000</c:formatCode>
                <c:ptCount val="6"/>
                <c:pt idx="0">
                  <c:v>820</c:v>
                </c:pt>
                <c:pt idx="1">
                  <c:v>820</c:v>
                </c:pt>
                <c:pt idx="2">
                  <c:v>820</c:v>
                </c:pt>
                <c:pt idx="3">
                  <c:v>820</c:v>
                </c:pt>
                <c:pt idx="4">
                  <c:v>820</c:v>
                </c:pt>
                <c:pt idx="5">
                  <c:v>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1C-40F8-B897-1755C2E7E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864576"/>
        <c:axId val="163399360"/>
      </c:lineChart>
      <c:lineChart>
        <c:grouping val="standard"/>
        <c:varyColors val="0"/>
        <c:ser>
          <c:idx val="0"/>
          <c:order val="2"/>
          <c:tx>
            <c:strRef>
              <c:f>'PODATKI grafi'!$P$415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grafi'!$Q$415:$V$415</c:f>
              <c:numCache>
                <c:formatCode>0.00</c:formatCode>
                <c:ptCount val="6"/>
                <c:pt idx="0">
                  <c:v>863.39057835772928</c:v>
                </c:pt>
                <c:pt idx="1">
                  <c:v>1002.0731001869194</c:v>
                </c:pt>
                <c:pt idx="2">
                  <c:v>1091.827560911252</c:v>
                </c:pt>
                <c:pt idx="3">
                  <c:v>1203.0006073298891</c:v>
                </c:pt>
                <c:pt idx="4">
                  <c:v>1134.6442642028014</c:v>
                </c:pt>
                <c:pt idx="5">
                  <c:v>1049.0108576197024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1C-40F8-B897-1755C2E7EEDD}"/>
            </c:ext>
          </c:extLst>
        </c:ser>
        <c:ser>
          <c:idx val="1"/>
          <c:order val="3"/>
          <c:tx>
            <c:strRef>
              <c:f>'PODATKI grafi'!$P$416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grafi'!$Q$416:$V$416</c:f>
              <c:numCache>
                <c:formatCode>0.00</c:formatCode>
                <c:ptCount val="6"/>
                <c:pt idx="0">
                  <c:v>828.89980283577609</c:v>
                </c:pt>
                <c:pt idx="1">
                  <c:v>962.02809572903334</c:v>
                </c:pt>
                <c:pt idx="2">
                  <c:v>1048.1039303146554</c:v>
                </c:pt>
                <c:pt idx="3">
                  <c:v>1154.6559300353879</c:v>
                </c:pt>
                <c:pt idx="4">
                  <c:v>1087.7167029110135</c:v>
                </c:pt>
                <c:pt idx="5">
                  <c:v>1008.4911577182974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1C-40F8-B897-1755C2E7EEDD}"/>
            </c:ext>
          </c:extLst>
        </c:ser>
        <c:ser>
          <c:idx val="2"/>
          <c:order val="4"/>
          <c:tx>
            <c:strRef>
              <c:f>'PODATKI grafi'!$P$417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grafi'!$Q$417:$V$417</c:f>
              <c:numCache>
                <c:formatCode>0.00</c:formatCode>
                <c:ptCount val="6"/>
                <c:pt idx="0">
                  <c:v>739.75642877812538</c:v>
                </c:pt>
                <c:pt idx="1">
                  <c:v>858.52950059719831</c:v>
                </c:pt>
                <c:pt idx="2">
                  <c:v>935.09771637927713</c:v>
                </c:pt>
                <c:pt idx="3">
                  <c:v>1029.7063576774945</c:v>
                </c:pt>
                <c:pt idx="4">
                  <c:v>966.42974758626156</c:v>
                </c:pt>
                <c:pt idx="5">
                  <c:v>903.76568517229282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1C-40F8-B897-1755C2E7E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865088"/>
        <c:axId val="163399936"/>
      </c:lineChart>
      <c:catAx>
        <c:axId val="16386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 b="0" i="0" u="none" strike="noStrike" baseline="0">
                    <a:effectLst/>
                  </a:rPr>
                  <a:t>Število trsov (kos/ha)</a:t>
                </a:r>
                <a:r>
                  <a:rPr lang="sl-SI" sz="1000"/>
                  <a:t>; Pridelek na trs (kg/kos)</a:t>
                </a:r>
                <a:r>
                  <a:rPr lang="sl-SI" sz="1000" baseline="0"/>
                  <a:t> </a:t>
                </a:r>
                <a:endParaRPr lang="sl-SI" sz="1000"/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339936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3399360"/>
        <c:scaling>
          <c:orientation val="minMax"/>
          <c:max val="14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3864576"/>
        <c:crosses val="autoZero"/>
        <c:crossBetween val="midCat"/>
        <c:majorUnit val="200"/>
      </c:valAx>
      <c:catAx>
        <c:axId val="163865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3399936"/>
        <c:crossesAt val="25"/>
        <c:auto val="1"/>
        <c:lblAlgn val="ctr"/>
        <c:lblOffset val="100"/>
        <c:noMultiLvlLbl val="0"/>
      </c:catAx>
      <c:valAx>
        <c:axId val="163399936"/>
        <c:scaling>
          <c:orientation val="minMax"/>
          <c:max val="14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3865088"/>
        <c:crosses val="max"/>
        <c:crossBetween val="midCat"/>
        <c:majorUnit val="200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grafi'!$J$112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grafi'!$Q$112:$V$112</c:f>
              <c:numCache>
                <c:formatCode>0</c:formatCode>
                <c:ptCount val="6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  <c:pt idx="4">
                  <c:v>23.94</c:v>
                </c:pt>
                <c:pt idx="5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C-4F17-8D7E-4D38CFEE96C6}"/>
            </c:ext>
          </c:extLst>
        </c:ser>
        <c:ser>
          <c:idx val="1"/>
          <c:order val="2"/>
          <c:tx>
            <c:strRef>
              <c:f>'PODATKI grafi'!$J$113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grafi'!$Q$113:$V$113</c:f>
              <c:numCache>
                <c:formatCode>0</c:formatCode>
                <c:ptCount val="6"/>
                <c:pt idx="0">
                  <c:v>929.49999999999989</c:v>
                </c:pt>
                <c:pt idx="1">
                  <c:v>857.99999999999989</c:v>
                </c:pt>
                <c:pt idx="2">
                  <c:v>786.49999999999989</c:v>
                </c:pt>
                <c:pt idx="3">
                  <c:v>714.99999999999989</c:v>
                </c:pt>
                <c:pt idx="4">
                  <c:v>643.5</c:v>
                </c:pt>
                <c:pt idx="5">
                  <c:v>786.49999999999989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FC-4F17-8D7E-4D38CFEE9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390912"/>
        <c:axId val="161746304"/>
      </c:barChart>
      <c:lineChart>
        <c:grouping val="standard"/>
        <c:varyColors val="0"/>
        <c:ser>
          <c:idx val="2"/>
          <c:order val="1"/>
          <c:tx>
            <c:strRef>
              <c:f>'PODATKI grafi'!$J$125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grafi'!$Q$125:$V$125</c:f>
              <c:numCache>
                <c:formatCode>#,##0.0</c:formatCode>
                <c:ptCount val="6"/>
                <c:pt idx="0">
                  <c:v>-423.03527086123654</c:v>
                </c:pt>
                <c:pt idx="1">
                  <c:v>-434.77683891794686</c:v>
                </c:pt>
                <c:pt idx="2">
                  <c:v>-449.93570535322533</c:v>
                </c:pt>
                <c:pt idx="3">
                  <c:v>-464.56156597443305</c:v>
                </c:pt>
                <c:pt idx="4">
                  <c:v>-466.58651701779308</c:v>
                </c:pt>
                <c:pt idx="5">
                  <c:v>-392.20149382594786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C-4F17-8D7E-4D38CFEE9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90912"/>
        <c:axId val="161746304"/>
      </c:lineChart>
      <c:catAx>
        <c:axId val="156390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161746304"/>
        <c:crosses val="autoZero"/>
        <c:auto val="1"/>
        <c:lblAlgn val="ctr"/>
        <c:lblOffset val="100"/>
        <c:noMultiLvlLbl val="0"/>
      </c:catAx>
      <c:valAx>
        <c:axId val="161746304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56390912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grafi'!$J$408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grafi'!$Q$408:$V$408</c:f>
              <c:numCache>
                <c:formatCode>0</c:formatCode>
                <c:ptCount val="6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  <c:pt idx="4">
                  <c:v>23.94</c:v>
                </c:pt>
                <c:pt idx="5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5A-4640-9D4E-D5909982ECD4}"/>
            </c:ext>
          </c:extLst>
        </c:ser>
        <c:ser>
          <c:idx val="1"/>
          <c:order val="2"/>
          <c:tx>
            <c:strRef>
              <c:f>'PODATKI grafi'!$J$409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grafi'!$Q$409:$V$409</c:f>
              <c:numCache>
                <c:formatCode>0</c:formatCode>
                <c:ptCount val="6"/>
                <c:pt idx="0">
                  <c:v>9840</c:v>
                </c:pt>
                <c:pt idx="1">
                  <c:v>8200</c:v>
                </c:pt>
                <c:pt idx="2">
                  <c:v>7380</c:v>
                </c:pt>
                <c:pt idx="3">
                  <c:v>6560</c:v>
                </c:pt>
                <c:pt idx="4">
                  <c:v>7380</c:v>
                </c:pt>
                <c:pt idx="5">
                  <c:v>7380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5A-4640-9D4E-D5909982E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865600"/>
        <c:axId val="163402240"/>
      </c:barChart>
      <c:lineChart>
        <c:grouping val="standard"/>
        <c:varyColors val="0"/>
        <c:ser>
          <c:idx val="2"/>
          <c:order val="1"/>
          <c:tx>
            <c:strRef>
              <c:f>'PODATKI grafi'!$J$421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grafi'!$Q$421:$V$421</c:f>
              <c:numCache>
                <c:formatCode>#,##0.0</c:formatCode>
                <c:ptCount val="6"/>
                <c:pt idx="0">
                  <c:v>5675.7921025257674</c:v>
                </c:pt>
                <c:pt idx="1">
                  <c:v>4238.9719804057786</c:v>
                </c:pt>
                <c:pt idx="2">
                  <c:v>3542.2158467492859</c:v>
                </c:pt>
                <c:pt idx="3">
                  <c:v>2855.6330490741339</c:v>
                </c:pt>
                <c:pt idx="4">
                  <c:v>3479.3836959231194</c:v>
                </c:pt>
                <c:pt idx="5">
                  <c:v>3605.0479975754515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5A-4640-9D4E-D5909982E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865600"/>
        <c:axId val="163402240"/>
      </c:lineChart>
      <c:catAx>
        <c:axId val="16386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sl-SI" sz="1000" b="0"/>
                  <a:t>Število trsov (kos/ha)</a:t>
                </a:r>
                <a:r>
                  <a:rPr lang="en-US" sz="1000" b="0"/>
                  <a:t>; </a:t>
                </a:r>
                <a:r>
                  <a:rPr lang="sl-SI" sz="1000" b="0"/>
                  <a:t>Pridelek </a:t>
                </a:r>
                <a:r>
                  <a:rPr lang="en-US" sz="1000" b="0"/>
                  <a:t>(</a:t>
                </a:r>
                <a:r>
                  <a:rPr lang="sl-SI" sz="1000" b="0"/>
                  <a:t>kg/kos</a:t>
                </a:r>
                <a:r>
                  <a:rPr lang="en-US" sz="1000" b="0"/>
                  <a:t>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3402240"/>
        <c:crosses val="autoZero"/>
        <c:auto val="1"/>
        <c:lblAlgn val="ctr"/>
        <c:lblOffset val="100"/>
        <c:noMultiLvlLbl val="0"/>
      </c:catAx>
      <c:valAx>
        <c:axId val="163402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3865600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grafi'!$Q$84:$V$84</c:f>
              <c:numCache>
                <c:formatCode>0.00</c:formatCode>
                <c:ptCount val="6"/>
                <c:pt idx="0">
                  <c:v>275.03048204703873</c:v>
                </c:pt>
                <c:pt idx="1">
                  <c:v>283.64592024922479</c:v>
                </c:pt>
                <c:pt idx="2">
                  <c:v>288.30985789659354</c:v>
                </c:pt>
                <c:pt idx="3">
                  <c:v>303.4146412375211</c:v>
                </c:pt>
                <c:pt idx="4">
                  <c:v>318.60803854862428</c:v>
                </c:pt>
                <c:pt idx="5">
                  <c:v>275.92261037227684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7-4302-8AA0-CDA91F5F77E1}"/>
            </c:ext>
          </c:extLst>
        </c:ser>
        <c:ser>
          <c:idx val="4"/>
          <c:order val="1"/>
          <c:tx>
            <c:strRef>
              <c:f>'PODATKI grafi'!$P$85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grafi'!$Q$85:$V$85</c:f>
              <c:numCache>
                <c:formatCode>0.00</c:formatCode>
                <c:ptCount val="6"/>
                <c:pt idx="0">
                  <c:v>23.812371534079091</c:v>
                </c:pt>
                <c:pt idx="1">
                  <c:v>24.887824619393427</c:v>
                </c:pt>
                <c:pt idx="2">
                  <c:v>25.163427757281738</c:v>
                </c:pt>
                <c:pt idx="3">
                  <c:v>26.245809838274226</c:v>
                </c:pt>
                <c:pt idx="4">
                  <c:v>27.056337691442877</c:v>
                </c:pt>
                <c:pt idx="5">
                  <c:v>22.339183598792658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57-4302-8AA0-CDA91F5F7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226432"/>
        <c:axId val="160676032"/>
      </c:areaChart>
      <c:lineChart>
        <c:grouping val="standard"/>
        <c:varyColors val="0"/>
        <c:ser>
          <c:idx val="5"/>
          <c:order val="5"/>
          <c:tx>
            <c:strRef>
              <c:f>'PODATKI grafi'!$P$87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grafi'!$Q$87:$V$87</c:f>
              <c:numCache>
                <c:formatCode>0.000</c:formatCode>
                <c:ptCount val="6"/>
                <c:pt idx="0">
                  <c:v>183</c:v>
                </c:pt>
                <c:pt idx="1">
                  <c:v>183</c:v>
                </c:pt>
                <c:pt idx="2">
                  <c:v>183</c:v>
                </c:pt>
                <c:pt idx="3">
                  <c:v>183</c:v>
                </c:pt>
                <c:pt idx="4">
                  <c:v>183</c:v>
                </c:pt>
                <c:pt idx="5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57-4302-8AA0-CDA91F5F7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26432"/>
        <c:axId val="160676032"/>
      </c:lineChart>
      <c:lineChart>
        <c:grouping val="standard"/>
        <c:varyColors val="0"/>
        <c:ser>
          <c:idx val="0"/>
          <c:order val="2"/>
          <c:tx>
            <c:strRef>
              <c:f>'PODATKI grafi'!$P$82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grafi'!$Q$82:$V$82</c:f>
              <c:numCache>
                <c:formatCode>0.00</c:formatCode>
                <c:ptCount val="6"/>
                <c:pt idx="0">
                  <c:v>298.84285358111782</c:v>
                </c:pt>
                <c:pt idx="1">
                  <c:v>308.53374486861821</c:v>
                </c:pt>
                <c:pt idx="2">
                  <c:v>313.47328565387528</c:v>
                </c:pt>
                <c:pt idx="3">
                  <c:v>329.66045107579532</c:v>
                </c:pt>
                <c:pt idx="4">
                  <c:v>345.66437624006716</c:v>
                </c:pt>
                <c:pt idx="5">
                  <c:v>298.26179397106949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57-4302-8AA0-CDA91F5F77E1}"/>
            </c:ext>
          </c:extLst>
        </c:ser>
        <c:ser>
          <c:idx val="1"/>
          <c:order val="3"/>
          <c:tx>
            <c:strRef>
              <c:f>'PODATKI grafi'!$P$83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grafi'!$Q$83:$V$83</c:f>
              <c:numCache>
                <c:formatCode>0.00</c:formatCode>
                <c:ptCount val="6"/>
                <c:pt idx="0">
                  <c:v>292.1998090499751</c:v>
                </c:pt>
                <c:pt idx="1">
                  <c:v>301.59067634672459</c:v>
                </c:pt>
                <c:pt idx="2">
                  <c:v>306.45333088336525</c:v>
                </c:pt>
                <c:pt idx="3">
                  <c:v>322.33853930140378</c:v>
                </c:pt>
                <c:pt idx="4">
                  <c:v>338.11634786008574</c:v>
                </c:pt>
                <c:pt idx="5">
                  <c:v>292.02973131306129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57-4302-8AA0-CDA91F5F77E1}"/>
            </c:ext>
          </c:extLst>
        </c:ser>
        <c:ser>
          <c:idx val="2"/>
          <c:order val="4"/>
          <c:tx>
            <c:strRef>
              <c:f>'PODATKI grafi'!$P$84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grafi'!$Q$84:$V$84</c:f>
              <c:numCache>
                <c:formatCode>0.00</c:formatCode>
                <c:ptCount val="6"/>
                <c:pt idx="0">
                  <c:v>275.03048204703873</c:v>
                </c:pt>
                <c:pt idx="1">
                  <c:v>283.64592024922479</c:v>
                </c:pt>
                <c:pt idx="2">
                  <c:v>288.30985789659354</c:v>
                </c:pt>
                <c:pt idx="3">
                  <c:v>303.4146412375211</c:v>
                </c:pt>
                <c:pt idx="4">
                  <c:v>318.60803854862428</c:v>
                </c:pt>
                <c:pt idx="5">
                  <c:v>275.92261037227684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57-4302-8AA0-CDA91F5F7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26944"/>
        <c:axId val="160676608"/>
      </c:lineChart>
      <c:catAx>
        <c:axId val="15822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067603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0676032"/>
        <c:scaling>
          <c:orientation val="minMax"/>
          <c:max val="225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58226432"/>
        <c:crosses val="autoZero"/>
        <c:crossBetween val="midCat"/>
        <c:majorUnit val="25"/>
      </c:valAx>
      <c:catAx>
        <c:axId val="158226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0676608"/>
        <c:crossesAt val="25"/>
        <c:auto val="1"/>
        <c:lblAlgn val="ctr"/>
        <c:lblOffset val="100"/>
        <c:noMultiLvlLbl val="0"/>
      </c:catAx>
      <c:valAx>
        <c:axId val="160676608"/>
        <c:scaling>
          <c:orientation val="minMax"/>
          <c:max val="225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58226944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5669057625777392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grafi'!$J$75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grafi'!$Q$75:$V$75</c:f>
              <c:numCache>
                <c:formatCode>0.0</c:formatCode>
                <c:ptCount val="6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  <c:pt idx="4">
                  <c:v>23.94</c:v>
                </c:pt>
                <c:pt idx="5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8-47DE-9C6A-3BF22BE70247}"/>
            </c:ext>
          </c:extLst>
        </c:ser>
        <c:ser>
          <c:idx val="1"/>
          <c:order val="2"/>
          <c:tx>
            <c:strRef>
              <c:f>'PODATKI grafi'!$J$76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grafi'!$Q$76:$V$76</c:f>
              <c:numCache>
                <c:formatCode>0</c:formatCode>
                <c:ptCount val="6"/>
                <c:pt idx="0">
                  <c:v>1281</c:v>
                </c:pt>
                <c:pt idx="1">
                  <c:v>1189.5</c:v>
                </c:pt>
                <c:pt idx="2">
                  <c:v>1098</c:v>
                </c:pt>
                <c:pt idx="3">
                  <c:v>1006.5</c:v>
                </c:pt>
                <c:pt idx="4">
                  <c:v>915</c:v>
                </c:pt>
                <c:pt idx="5">
                  <c:v>1098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8-47DE-9C6A-3BF22BE70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227968"/>
        <c:axId val="160498816"/>
      </c:barChart>
      <c:lineChart>
        <c:grouping val="standard"/>
        <c:varyColors val="0"/>
        <c:ser>
          <c:idx val="2"/>
          <c:order val="1"/>
          <c:tx>
            <c:strRef>
              <c:f>'PODATKI grafi'!$J$88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grafi'!$Q$88:$V$88</c:f>
              <c:numCache>
                <c:formatCode>#,##0.0</c:formatCode>
                <c:ptCount val="6"/>
                <c:pt idx="0">
                  <c:v>-228.36196619336511</c:v>
                </c:pt>
                <c:pt idx="1">
                  <c:v>-246.15060583105173</c:v>
                </c:pt>
                <c:pt idx="2">
                  <c:v>-245.21242504531233</c:v>
                </c:pt>
                <c:pt idx="3">
                  <c:v>-287.37646316099995</c:v>
                </c:pt>
                <c:pt idx="4">
                  <c:v>-319.31236533475635</c:v>
                </c:pt>
                <c:pt idx="5">
                  <c:v>-217.76539877675577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88-47DE-9C6A-3BF22BE70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27968"/>
        <c:axId val="160498816"/>
      </c:lineChart>
      <c:catAx>
        <c:axId val="15822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0498816"/>
        <c:crosses val="autoZero"/>
        <c:auto val="1"/>
        <c:lblAlgn val="ctr"/>
        <c:lblOffset val="100"/>
        <c:noMultiLvlLbl val="0"/>
      </c:catAx>
      <c:valAx>
        <c:axId val="160498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58227968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282112022832679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grafi'!$Q$121:$V$121</c:f>
              <c:numCache>
                <c:formatCode>0.00</c:formatCode>
                <c:ptCount val="6"/>
                <c:pt idx="0">
                  <c:v>275.33478927202032</c:v>
                </c:pt>
                <c:pt idx="1">
                  <c:v>284.80340196293969</c:v>
                </c:pt>
                <c:pt idx="2">
                  <c:v>296.77718946070786</c:v>
                </c:pt>
                <c:pt idx="3">
                  <c:v>313.52953469525823</c:v>
                </c:pt>
                <c:pt idx="4">
                  <c:v>327.61962753882744</c:v>
                </c:pt>
                <c:pt idx="5">
                  <c:v>269.68743996853266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D-4BA8-8DD9-6F63B5072B1F}"/>
            </c:ext>
          </c:extLst>
        </c:ser>
        <c:ser>
          <c:idx val="4"/>
          <c:order val="1"/>
          <c:tx>
            <c:strRef>
              <c:f>'PODATKI grafi'!$P$122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grafi'!$Q$122:$V$122</c:f>
              <c:numCache>
                <c:formatCode>0.00</c:formatCode>
                <c:ptCount val="6"/>
                <c:pt idx="0">
                  <c:v>26.630367338613951</c:v>
                </c:pt>
                <c:pt idx="1">
                  <c:v>27.047787611462354</c:v>
                </c:pt>
                <c:pt idx="2">
                  <c:v>27.535858153006529</c:v>
                </c:pt>
                <c:pt idx="3">
                  <c:v>29.295022135155932</c:v>
                </c:pt>
                <c:pt idx="4">
                  <c:v>29.922558806063023</c:v>
                </c:pt>
                <c:pt idx="5">
                  <c:v>17.574527603501394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1D-4BA8-8DD9-6F63B5072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123072"/>
        <c:axId val="160501120"/>
      </c:areaChart>
      <c:lineChart>
        <c:grouping val="standard"/>
        <c:varyColors val="0"/>
        <c:ser>
          <c:idx val="5"/>
          <c:order val="5"/>
          <c:tx>
            <c:strRef>
              <c:f>'PODATKI grafi'!$P$124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grafi'!$Q$124:$V$124</c:f>
              <c:numCache>
                <c:formatCode>0.000</c:formatCode>
                <c:ptCount val="6"/>
                <c:pt idx="0">
                  <c:v>143</c:v>
                </c:pt>
                <c:pt idx="1">
                  <c:v>143</c:v>
                </c:pt>
                <c:pt idx="2">
                  <c:v>143</c:v>
                </c:pt>
                <c:pt idx="3">
                  <c:v>143</c:v>
                </c:pt>
                <c:pt idx="4">
                  <c:v>143</c:v>
                </c:pt>
                <c:pt idx="5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1D-4BA8-8DD9-6F63B5072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123072"/>
        <c:axId val="160501120"/>
      </c:lineChart>
      <c:lineChart>
        <c:grouping val="standard"/>
        <c:varyColors val="0"/>
        <c:ser>
          <c:idx val="0"/>
          <c:order val="2"/>
          <c:tx>
            <c:strRef>
              <c:f>'PODATKI grafi'!$P$119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grafi'!$Q$119:$V$119</c:f>
              <c:numCache>
                <c:formatCode>0.00</c:formatCode>
                <c:ptCount val="6"/>
                <c:pt idx="0">
                  <c:v>301.96515661063427</c:v>
                </c:pt>
                <c:pt idx="1">
                  <c:v>311.85118957440204</c:v>
                </c:pt>
                <c:pt idx="2">
                  <c:v>324.31304761371439</c:v>
                </c:pt>
                <c:pt idx="3">
                  <c:v>342.82455683041417</c:v>
                </c:pt>
                <c:pt idx="4">
                  <c:v>357.54218634489047</c:v>
                </c:pt>
                <c:pt idx="5">
                  <c:v>287.26196757203405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1D-4BA8-8DD9-6F63B5072B1F}"/>
            </c:ext>
          </c:extLst>
        </c:ser>
        <c:ser>
          <c:idx val="1"/>
          <c:order val="3"/>
          <c:tx>
            <c:strRef>
              <c:f>'PODATKI grafi'!$P$120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grafi'!$Q$120:$V$120</c:f>
              <c:numCache>
                <c:formatCode>0.00</c:formatCode>
                <c:ptCount val="6"/>
                <c:pt idx="0">
                  <c:v>294.53596309843323</c:v>
                </c:pt>
                <c:pt idx="1">
                  <c:v>304.30554644874002</c:v>
                </c:pt>
                <c:pt idx="2">
                  <c:v>316.63124525094412</c:v>
                </c:pt>
                <c:pt idx="3">
                  <c:v>334.65199256875974</c:v>
                </c:pt>
                <c:pt idx="4">
                  <c:v>349.19455535190292</c:v>
                </c:pt>
                <c:pt idx="5">
                  <c:v>282.35912245571404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1D-4BA8-8DD9-6F63B5072B1F}"/>
            </c:ext>
          </c:extLst>
        </c:ser>
        <c:ser>
          <c:idx val="2"/>
          <c:order val="4"/>
          <c:tx>
            <c:strRef>
              <c:f>'PODATKI grafi'!$P$121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grafi'!$Q$121:$V$121</c:f>
              <c:numCache>
                <c:formatCode>0.00</c:formatCode>
                <c:ptCount val="6"/>
                <c:pt idx="0">
                  <c:v>275.33478927202032</c:v>
                </c:pt>
                <c:pt idx="1">
                  <c:v>284.80340196293969</c:v>
                </c:pt>
                <c:pt idx="2">
                  <c:v>296.77718946070786</c:v>
                </c:pt>
                <c:pt idx="3">
                  <c:v>313.52953469525823</c:v>
                </c:pt>
                <c:pt idx="4">
                  <c:v>327.61962753882744</c:v>
                </c:pt>
                <c:pt idx="5">
                  <c:v>269.68743996853266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1D-4BA8-8DD9-6F63B5072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574976"/>
        <c:axId val="160501696"/>
      </c:lineChart>
      <c:catAx>
        <c:axId val="165123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050112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0501120"/>
        <c:scaling>
          <c:orientation val="minMax"/>
          <c:max val="225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5123072"/>
        <c:crosses val="autoZero"/>
        <c:crossBetween val="midCat"/>
        <c:majorUnit val="25"/>
      </c:valAx>
      <c:catAx>
        <c:axId val="160574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0501696"/>
        <c:crossesAt val="25"/>
        <c:auto val="1"/>
        <c:lblAlgn val="ctr"/>
        <c:lblOffset val="100"/>
        <c:noMultiLvlLbl val="0"/>
      </c:catAx>
      <c:valAx>
        <c:axId val="160501696"/>
        <c:scaling>
          <c:orientation val="minMax"/>
          <c:max val="225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0574976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grafi'!$J$112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grafi'!$Q$112:$V$112</c:f>
              <c:numCache>
                <c:formatCode>0</c:formatCode>
                <c:ptCount val="6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  <c:pt idx="4">
                  <c:v>23.94</c:v>
                </c:pt>
                <c:pt idx="5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5-476A-93DB-2634F3455AC3}"/>
            </c:ext>
          </c:extLst>
        </c:ser>
        <c:ser>
          <c:idx val="1"/>
          <c:order val="2"/>
          <c:tx>
            <c:strRef>
              <c:f>'PODATKI grafi'!$J$113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grafi'!$Q$113:$V$113</c:f>
              <c:numCache>
                <c:formatCode>0</c:formatCode>
                <c:ptCount val="6"/>
                <c:pt idx="0">
                  <c:v>929.49999999999989</c:v>
                </c:pt>
                <c:pt idx="1">
                  <c:v>857.99999999999989</c:v>
                </c:pt>
                <c:pt idx="2">
                  <c:v>786.49999999999989</c:v>
                </c:pt>
                <c:pt idx="3">
                  <c:v>714.99999999999989</c:v>
                </c:pt>
                <c:pt idx="4">
                  <c:v>643.5</c:v>
                </c:pt>
                <c:pt idx="5">
                  <c:v>786.49999999999989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95-476A-93DB-2634F3455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125632"/>
        <c:axId val="160504000"/>
      </c:barChart>
      <c:lineChart>
        <c:grouping val="standard"/>
        <c:varyColors val="0"/>
        <c:ser>
          <c:idx val="2"/>
          <c:order val="1"/>
          <c:tx>
            <c:strRef>
              <c:f>'PODATKI grafi'!$J$125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grafi'!$Q$125:$V$125</c:f>
              <c:numCache>
                <c:formatCode>#,##0.0</c:formatCode>
                <c:ptCount val="6"/>
                <c:pt idx="0">
                  <c:v>-423.03527086123654</c:v>
                </c:pt>
                <c:pt idx="1">
                  <c:v>-434.77683891794686</c:v>
                </c:pt>
                <c:pt idx="2">
                  <c:v>-449.93570535322533</c:v>
                </c:pt>
                <c:pt idx="3">
                  <c:v>-464.56156597443305</c:v>
                </c:pt>
                <c:pt idx="4">
                  <c:v>-466.58651701779308</c:v>
                </c:pt>
                <c:pt idx="5">
                  <c:v>-392.20149382594786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95-476A-93DB-2634F3455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125632"/>
        <c:axId val="160504000"/>
      </c:lineChart>
      <c:catAx>
        <c:axId val="165125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0504000"/>
        <c:crosses val="autoZero"/>
        <c:auto val="1"/>
        <c:lblAlgn val="ctr"/>
        <c:lblOffset val="100"/>
        <c:noMultiLvlLbl val="0"/>
      </c:catAx>
      <c:valAx>
        <c:axId val="160504000"/>
        <c:scaling>
          <c:orientation val="minMax"/>
          <c:max val="17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125632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grafi'!$Q$158:$V$158</c:f>
              <c:numCache>
                <c:formatCode>0.00</c:formatCode>
                <c:ptCount val="6"/>
                <c:pt idx="0">
                  <c:v>556.21818935698593</c:v>
                </c:pt>
                <c:pt idx="1">
                  <c:v>586.28147194021722</c:v>
                </c:pt>
                <c:pt idx="2">
                  <c:v>622.25061520430302</c:v>
                </c:pt>
                <c:pt idx="3">
                  <c:v>667.31517736750141</c:v>
                </c:pt>
                <c:pt idx="4">
                  <c:v>594.41321188571646</c:v>
                </c:pt>
                <c:pt idx="5">
                  <c:v>561.8011073358532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6-4F4E-A0F0-D312AE32BEDC}"/>
            </c:ext>
          </c:extLst>
        </c:ser>
        <c:ser>
          <c:idx val="4"/>
          <c:order val="1"/>
          <c:tx>
            <c:strRef>
              <c:f>'PODATKI grafi'!$P$159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grafi'!$Q$159:$V$159</c:f>
              <c:numCache>
                <c:formatCode>0.00</c:formatCode>
                <c:ptCount val="6"/>
                <c:pt idx="0">
                  <c:v>26.108858541523773</c:v>
                </c:pt>
                <c:pt idx="1">
                  <c:v>29.634986292863232</c:v>
                </c:pt>
                <c:pt idx="2">
                  <c:v>32.951648314383078</c:v>
                </c:pt>
                <c:pt idx="3">
                  <c:v>36.906964012881872</c:v>
                </c:pt>
                <c:pt idx="4">
                  <c:v>26.499926649763665</c:v>
                </c:pt>
                <c:pt idx="5">
                  <c:v>23.917820247105738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6-4F4E-A0F0-D312AE32B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315072"/>
        <c:axId val="165192256"/>
      </c:areaChart>
      <c:lineChart>
        <c:grouping val="standard"/>
        <c:varyColors val="0"/>
        <c:ser>
          <c:idx val="5"/>
          <c:order val="5"/>
          <c:tx>
            <c:strRef>
              <c:f>'PODATKI grafi'!$P$161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grafi'!$Q$161:$V$161</c:f>
              <c:numCache>
                <c:formatCode>0.000</c:formatCode>
                <c:ptCount val="6"/>
                <c:pt idx="0">
                  <c:v>377.99999999999994</c:v>
                </c:pt>
                <c:pt idx="1">
                  <c:v>377.99999999999994</c:v>
                </c:pt>
                <c:pt idx="2">
                  <c:v>377.99999999999994</c:v>
                </c:pt>
                <c:pt idx="3">
                  <c:v>377.99999999999994</c:v>
                </c:pt>
                <c:pt idx="4">
                  <c:v>377.99999999999994</c:v>
                </c:pt>
                <c:pt idx="5">
                  <c:v>377.99999999999994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26-4F4E-A0F0-D312AE32B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15072"/>
        <c:axId val="165192256"/>
      </c:lineChart>
      <c:lineChart>
        <c:grouping val="standard"/>
        <c:varyColors val="0"/>
        <c:ser>
          <c:idx val="0"/>
          <c:order val="2"/>
          <c:tx>
            <c:strRef>
              <c:f>'PODATKI grafi'!$P$156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grafi'!$Q$156:$V$156</c:f>
              <c:numCache>
                <c:formatCode>0.00</c:formatCode>
                <c:ptCount val="6"/>
                <c:pt idx="0">
                  <c:v>582.3270478985097</c:v>
                </c:pt>
                <c:pt idx="1">
                  <c:v>615.91645823308045</c:v>
                </c:pt>
                <c:pt idx="2">
                  <c:v>655.2022635186861</c:v>
                </c:pt>
                <c:pt idx="3">
                  <c:v>704.22214138038328</c:v>
                </c:pt>
                <c:pt idx="4">
                  <c:v>620.91313853548013</c:v>
                </c:pt>
                <c:pt idx="5">
                  <c:v>585.71892758295894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26-4F4E-A0F0-D312AE32BEDC}"/>
            </c:ext>
          </c:extLst>
        </c:ser>
        <c:ser>
          <c:idx val="1"/>
          <c:order val="3"/>
          <c:tx>
            <c:strRef>
              <c:f>'PODATKI grafi'!$P$157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grafi'!$Q$157:$V$157</c:f>
              <c:numCache>
                <c:formatCode>0.00</c:formatCode>
                <c:ptCount val="6"/>
                <c:pt idx="0">
                  <c:v>575.04334204416307</c:v>
                </c:pt>
                <c:pt idx="1">
                  <c:v>607.64905263924663</c:v>
                </c:pt>
                <c:pt idx="2">
                  <c:v>646.00959378338814</c:v>
                </c:pt>
                <c:pt idx="3">
                  <c:v>693.92603941103619</c:v>
                </c:pt>
                <c:pt idx="4">
                  <c:v>613.52033464971623</c:v>
                </c:pt>
                <c:pt idx="5">
                  <c:v>579.04646554943156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26-4F4E-A0F0-D312AE32BEDC}"/>
            </c:ext>
          </c:extLst>
        </c:ser>
        <c:ser>
          <c:idx val="2"/>
          <c:order val="4"/>
          <c:tx>
            <c:strRef>
              <c:f>'PODATKI grafi'!$P$158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grafi'!$Q$158:$V$158</c:f>
              <c:numCache>
                <c:formatCode>0.00</c:formatCode>
                <c:ptCount val="6"/>
                <c:pt idx="0">
                  <c:v>556.21818935698593</c:v>
                </c:pt>
                <c:pt idx="1">
                  <c:v>586.28147194021722</c:v>
                </c:pt>
                <c:pt idx="2">
                  <c:v>622.25061520430302</c:v>
                </c:pt>
                <c:pt idx="3">
                  <c:v>667.31517736750141</c:v>
                </c:pt>
                <c:pt idx="4">
                  <c:v>594.41321188571646</c:v>
                </c:pt>
                <c:pt idx="5">
                  <c:v>561.8011073358532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126-4F4E-A0F0-D312AE32B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15584"/>
        <c:axId val="165192832"/>
      </c:lineChart>
      <c:catAx>
        <c:axId val="16531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519225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5192256"/>
        <c:scaling>
          <c:orientation val="minMax"/>
          <c:max val="450"/>
          <c:min val="1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5315072"/>
        <c:crosses val="autoZero"/>
        <c:crossBetween val="midCat"/>
        <c:majorUnit val="50"/>
      </c:valAx>
      <c:catAx>
        <c:axId val="165315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5192832"/>
        <c:crossesAt val="25"/>
        <c:auto val="1"/>
        <c:lblAlgn val="ctr"/>
        <c:lblOffset val="100"/>
        <c:noMultiLvlLbl val="0"/>
      </c:catAx>
      <c:valAx>
        <c:axId val="165192832"/>
        <c:scaling>
          <c:orientation val="minMax"/>
          <c:max val="450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5315584"/>
        <c:crosses val="max"/>
        <c:crossBetween val="midCat"/>
        <c:minorUnit val="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grafi'!$J$149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grafi'!$Q$149:$V$149</c:f>
              <c:numCache>
                <c:formatCode>0</c:formatCode>
                <c:ptCount val="6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  <c:pt idx="4">
                  <c:v>23.94</c:v>
                </c:pt>
                <c:pt idx="5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1-46E4-AA0E-1656FDCDA2C8}"/>
            </c:ext>
          </c:extLst>
        </c:ser>
        <c:ser>
          <c:idx val="1"/>
          <c:order val="2"/>
          <c:tx>
            <c:strRef>
              <c:f>'PODATKI grafi'!$J$113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grafi'!$Q$150:$V$150</c:f>
              <c:numCache>
                <c:formatCode>0</c:formatCode>
                <c:ptCount val="6"/>
                <c:pt idx="0">
                  <c:v>1511.9999999999998</c:v>
                </c:pt>
                <c:pt idx="1">
                  <c:v>1322.9999999999998</c:v>
                </c:pt>
                <c:pt idx="2">
                  <c:v>1133.9999999999998</c:v>
                </c:pt>
                <c:pt idx="3">
                  <c:v>944.99999999999989</c:v>
                </c:pt>
                <c:pt idx="4">
                  <c:v>1133.9999999999998</c:v>
                </c:pt>
                <c:pt idx="5">
                  <c:v>1322.9999999999998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1-46E4-AA0E-1656FDCDA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316096"/>
        <c:axId val="165195136"/>
      </c:barChart>
      <c:lineChart>
        <c:grouping val="standard"/>
        <c:varyColors val="0"/>
        <c:ser>
          <c:idx val="2"/>
          <c:order val="1"/>
          <c:tx>
            <c:strRef>
              <c:f>'PODATKI grafi'!$J$162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grafi'!$Q$162:$V$162</c:f>
              <c:numCache>
                <c:formatCode>#,##0.0</c:formatCode>
                <c:ptCount val="6"/>
                <c:pt idx="0">
                  <c:v>-376.11860799462761</c:v>
                </c:pt>
                <c:pt idx="1">
                  <c:v>-395.25763272019481</c:v>
                </c:pt>
                <c:pt idx="2">
                  <c:v>-410.96432763127905</c:v>
                </c:pt>
                <c:pt idx="3">
                  <c:v>-418.23461162611136</c:v>
                </c:pt>
                <c:pt idx="4">
                  <c:v>-380.03639942170071</c:v>
                </c:pt>
                <c:pt idx="5">
                  <c:v>-363.56553802401118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11-46E4-AA0E-1656FDCDA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16096"/>
        <c:axId val="165195136"/>
      </c:lineChart>
      <c:catAx>
        <c:axId val="16531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5195136"/>
        <c:crosses val="autoZero"/>
        <c:auto val="1"/>
        <c:lblAlgn val="ctr"/>
        <c:lblOffset val="100"/>
        <c:noMultiLvlLbl val="0"/>
      </c:catAx>
      <c:valAx>
        <c:axId val="165195136"/>
        <c:scaling>
          <c:orientation val="minMax"/>
          <c:max val="17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316096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grafi'!$Q$195:$V$195</c:f>
              <c:numCache>
                <c:formatCode>0.00</c:formatCode>
                <c:ptCount val="6"/>
                <c:pt idx="0">
                  <c:v>227.76493046308465</c:v>
                </c:pt>
                <c:pt idx="1">
                  <c:v>233.04356011399241</c:v>
                </c:pt>
                <c:pt idx="2">
                  <c:v>242.26535482189735</c:v>
                </c:pt>
                <c:pt idx="3">
                  <c:v>253.45301256352545</c:v>
                </c:pt>
                <c:pt idx="4">
                  <c:v>263.58078064467009</c:v>
                </c:pt>
                <c:pt idx="5">
                  <c:v>233.8034164910427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4-493F-82A1-49E118157CFD}"/>
            </c:ext>
          </c:extLst>
        </c:ser>
        <c:ser>
          <c:idx val="4"/>
          <c:order val="1"/>
          <c:tx>
            <c:strRef>
              <c:f>'PODATKI grafi'!$P$196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grafi'!$Q$196:$V$196</c:f>
              <c:numCache>
                <c:formatCode>0.00</c:formatCode>
                <c:ptCount val="6"/>
                <c:pt idx="0">
                  <c:v>10.45699933234286</c:v>
                </c:pt>
                <c:pt idx="1">
                  <c:v>10.749592444188352</c:v>
                </c:pt>
                <c:pt idx="2">
                  <c:v>11.785564550992035</c:v>
                </c:pt>
                <c:pt idx="3">
                  <c:v>13.051685676866924</c:v>
                </c:pt>
                <c:pt idx="4">
                  <c:v>14.634337084210529</c:v>
                </c:pt>
                <c:pt idx="5">
                  <c:v>9.6814467559331092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14-493F-82A1-49E118157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162112"/>
        <c:axId val="165197440"/>
      </c:areaChart>
      <c:lineChart>
        <c:grouping val="standard"/>
        <c:varyColors val="0"/>
        <c:ser>
          <c:idx val="5"/>
          <c:order val="5"/>
          <c:tx>
            <c:strRef>
              <c:f>'PODATKI grafi'!$P$198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grafi'!$Q$198:$V$198</c:f>
              <c:numCache>
                <c:formatCode>0.000</c:formatCode>
                <c:ptCount val="6"/>
                <c:pt idx="0">
                  <c:v>142</c:v>
                </c:pt>
                <c:pt idx="1">
                  <c:v>142</c:v>
                </c:pt>
                <c:pt idx="2">
                  <c:v>142</c:v>
                </c:pt>
                <c:pt idx="3">
                  <c:v>142</c:v>
                </c:pt>
                <c:pt idx="4">
                  <c:v>142</c:v>
                </c:pt>
                <c:pt idx="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14-493F-82A1-49E118157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62112"/>
        <c:axId val="165197440"/>
      </c:lineChart>
      <c:lineChart>
        <c:grouping val="standard"/>
        <c:varyColors val="0"/>
        <c:ser>
          <c:idx val="0"/>
          <c:order val="2"/>
          <c:tx>
            <c:strRef>
              <c:f>'PODATKI grafi'!$P$193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grafi'!$Q$193:$V$193</c:f>
              <c:numCache>
                <c:formatCode>0.00</c:formatCode>
                <c:ptCount val="6"/>
                <c:pt idx="0">
                  <c:v>238.22192979542751</c:v>
                </c:pt>
                <c:pt idx="1">
                  <c:v>243.79315255818076</c:v>
                </c:pt>
                <c:pt idx="2">
                  <c:v>254.05091937288938</c:v>
                </c:pt>
                <c:pt idx="3">
                  <c:v>266.50469824039237</c:v>
                </c:pt>
                <c:pt idx="4">
                  <c:v>278.21511772888061</c:v>
                </c:pt>
                <c:pt idx="5">
                  <c:v>243.48486324697581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14-493F-82A1-49E118157CFD}"/>
            </c:ext>
          </c:extLst>
        </c:ser>
        <c:ser>
          <c:idx val="1"/>
          <c:order val="3"/>
          <c:tx>
            <c:strRef>
              <c:f>'PODATKI grafi'!$P$194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grafi'!$Q$194:$V$194</c:f>
              <c:numCache>
                <c:formatCode>0.00</c:formatCode>
                <c:ptCount val="6"/>
                <c:pt idx="0">
                  <c:v>235.30469359627506</c:v>
                </c:pt>
                <c:pt idx="1">
                  <c:v>240.79429034085899</c:v>
                </c:pt>
                <c:pt idx="2">
                  <c:v>250.76304735120314</c:v>
                </c:pt>
                <c:pt idx="3">
                  <c:v>262.86361070596433</c:v>
                </c:pt>
                <c:pt idx="4">
                  <c:v>274.13251080352535</c:v>
                </c:pt>
                <c:pt idx="5">
                  <c:v>240.78398644293685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14-493F-82A1-49E118157CFD}"/>
            </c:ext>
          </c:extLst>
        </c:ser>
        <c:ser>
          <c:idx val="2"/>
          <c:order val="4"/>
          <c:tx>
            <c:strRef>
              <c:f>'PODATKI grafi'!$P$195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grafi'!$Q$195:$V$195</c:f>
              <c:numCache>
                <c:formatCode>0.00</c:formatCode>
                <c:ptCount val="6"/>
                <c:pt idx="0">
                  <c:v>227.76493046308465</c:v>
                </c:pt>
                <c:pt idx="1">
                  <c:v>233.04356011399241</c:v>
                </c:pt>
                <c:pt idx="2">
                  <c:v>242.26535482189735</c:v>
                </c:pt>
                <c:pt idx="3">
                  <c:v>253.45301256352545</c:v>
                </c:pt>
                <c:pt idx="4">
                  <c:v>263.58078064467009</c:v>
                </c:pt>
                <c:pt idx="5">
                  <c:v>233.8034164910427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14-493F-82A1-49E118157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62624"/>
        <c:axId val="165198016"/>
      </c:lineChart>
      <c:catAx>
        <c:axId val="139162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519744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5197440"/>
        <c:scaling>
          <c:orientation val="minMax"/>
          <c:max val="200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39162112"/>
        <c:crosses val="autoZero"/>
        <c:crossBetween val="midCat"/>
        <c:majorUnit val="25"/>
      </c:valAx>
      <c:catAx>
        <c:axId val="13916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5198016"/>
        <c:crossesAt val="25"/>
        <c:auto val="1"/>
        <c:lblAlgn val="ctr"/>
        <c:lblOffset val="100"/>
        <c:noMultiLvlLbl val="0"/>
      </c:catAx>
      <c:valAx>
        <c:axId val="165198016"/>
        <c:scaling>
          <c:orientation val="minMax"/>
          <c:max val="200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39162624"/>
        <c:crosses val="max"/>
        <c:crossBetween val="midCat"/>
        <c:minorUnit val="2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grafi'!$J$186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grafi'!$Q$186:$V$186</c:f>
              <c:numCache>
                <c:formatCode>0</c:formatCode>
                <c:ptCount val="6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  <c:pt idx="4">
                  <c:v>23.94</c:v>
                </c:pt>
                <c:pt idx="5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3-4D6B-B36B-ED57E76F0485}"/>
            </c:ext>
          </c:extLst>
        </c:ser>
        <c:ser>
          <c:idx val="1"/>
          <c:order val="2"/>
          <c:tx>
            <c:strRef>
              <c:f>'PODATKI grafi'!$J$187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grafi'!$Q$187:$V$187</c:f>
              <c:numCache>
                <c:formatCode>0</c:formatCode>
                <c:ptCount val="6"/>
                <c:pt idx="0">
                  <c:v>1703.9999999999998</c:v>
                </c:pt>
                <c:pt idx="1">
                  <c:v>1561.9999999999998</c:v>
                </c:pt>
                <c:pt idx="2">
                  <c:v>1419.9999999999998</c:v>
                </c:pt>
                <c:pt idx="3">
                  <c:v>1277.9999999999998</c:v>
                </c:pt>
                <c:pt idx="4">
                  <c:v>1136</c:v>
                </c:pt>
                <c:pt idx="5">
                  <c:v>1419.9999999999998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73-4D6B-B36B-ED57E76F0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163136"/>
        <c:axId val="165896768"/>
      </c:barChart>
      <c:lineChart>
        <c:grouping val="standard"/>
        <c:varyColors val="0"/>
        <c:ser>
          <c:idx val="2"/>
          <c:order val="1"/>
          <c:tx>
            <c:strRef>
              <c:f>'PODATKI grafi'!$J$199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grafi'!$Q$199:$V$199</c:f>
              <c:numCache>
                <c:formatCode>#,##0.0</c:formatCode>
                <c:ptCount val="6"/>
                <c:pt idx="0">
                  <c:v>-642.43412665034589</c:v>
                </c:pt>
                <c:pt idx="1">
                  <c:v>-632.86910857489852</c:v>
                </c:pt>
                <c:pt idx="2">
                  <c:v>-636.31811715054596</c:v>
                </c:pt>
                <c:pt idx="3">
                  <c:v>-639.06935654914764</c:v>
                </c:pt>
                <c:pt idx="4">
                  <c:v>-611.45494594774868</c:v>
                </c:pt>
                <c:pt idx="5">
                  <c:v>-605.59379459594879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73-4D6B-B36B-ED57E76F0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63136"/>
        <c:axId val="165896768"/>
      </c:lineChart>
      <c:catAx>
        <c:axId val="13916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5896768"/>
        <c:crosses val="autoZero"/>
        <c:auto val="1"/>
        <c:lblAlgn val="ctr"/>
        <c:lblOffset val="100"/>
        <c:noMultiLvlLbl val="0"/>
      </c:catAx>
      <c:valAx>
        <c:axId val="165896768"/>
        <c:scaling>
          <c:orientation val="minMax"/>
          <c:max val="22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39163136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grafi'!$Q$232:$V$232</c:f>
              <c:numCache>
                <c:formatCode>0.00</c:formatCode>
                <c:ptCount val="6"/>
                <c:pt idx="0">
                  <c:v>172.46548277110486</c:v>
                </c:pt>
                <c:pt idx="1">
                  <c:v>204.94905565032585</c:v>
                </c:pt>
                <c:pt idx="2">
                  <c:v>256.77967328673441</c:v>
                </c:pt>
                <c:pt idx="3">
                  <c:v>292.86761943057581</c:v>
                </c:pt>
                <c:pt idx="4">
                  <c:v>266.27269017551441</c:v>
                </c:pt>
                <c:pt idx="5">
                  <c:v>207.86522581123182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5-4C2E-B64A-94761B399909}"/>
            </c:ext>
          </c:extLst>
        </c:ser>
        <c:ser>
          <c:idx val="4"/>
          <c:order val="1"/>
          <c:tx>
            <c:strRef>
              <c:f>'PODATKI grafi'!$P$233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grafi'!$Q$233:$V$233</c:f>
              <c:numCache>
                <c:formatCode>0.00</c:formatCode>
                <c:ptCount val="6"/>
                <c:pt idx="0">
                  <c:v>41.635614743940806</c:v>
                </c:pt>
                <c:pt idx="1">
                  <c:v>45.321718818828231</c:v>
                </c:pt>
                <c:pt idx="2">
                  <c:v>51.263849230067478</c:v>
                </c:pt>
                <c:pt idx="3">
                  <c:v>55.869234190854172</c:v>
                </c:pt>
                <c:pt idx="4">
                  <c:v>54.626558772974249</c:v>
                </c:pt>
                <c:pt idx="5">
                  <c:v>46.370067347908531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D5-4C2E-B64A-94761B399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164672"/>
        <c:axId val="165899072"/>
      </c:areaChart>
      <c:lineChart>
        <c:grouping val="standard"/>
        <c:varyColors val="0"/>
        <c:ser>
          <c:idx val="5"/>
          <c:order val="5"/>
          <c:tx>
            <c:strRef>
              <c:f>'PODATKI grafi'!$P$235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grafi'!$Q$235:$V$235</c:f>
              <c:numCache>
                <c:formatCode>0.000</c:formatCode>
                <c:ptCount val="6"/>
                <c:pt idx="0">
                  <c:v>458.99999999999989</c:v>
                </c:pt>
                <c:pt idx="1">
                  <c:v>459</c:v>
                </c:pt>
                <c:pt idx="2">
                  <c:v>458.99999999999994</c:v>
                </c:pt>
                <c:pt idx="3">
                  <c:v>458.99999999999989</c:v>
                </c:pt>
                <c:pt idx="4">
                  <c:v>458.99999999999994</c:v>
                </c:pt>
                <c:pt idx="5">
                  <c:v>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D5-4C2E-B64A-94761B399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64672"/>
        <c:axId val="165899072"/>
      </c:lineChart>
      <c:lineChart>
        <c:grouping val="standard"/>
        <c:varyColors val="0"/>
        <c:ser>
          <c:idx val="0"/>
          <c:order val="2"/>
          <c:tx>
            <c:strRef>
              <c:f>'PODATKI grafi'!$P$230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grafi'!$Q$230:$V$230</c:f>
              <c:numCache>
                <c:formatCode>0.00</c:formatCode>
                <c:ptCount val="6"/>
                <c:pt idx="0">
                  <c:v>214.10109751504567</c:v>
                </c:pt>
                <c:pt idx="1">
                  <c:v>250.27077446915408</c:v>
                </c:pt>
                <c:pt idx="2">
                  <c:v>308.04352251680189</c:v>
                </c:pt>
                <c:pt idx="3">
                  <c:v>348.73685362142999</c:v>
                </c:pt>
                <c:pt idx="4">
                  <c:v>320.89924894848866</c:v>
                </c:pt>
                <c:pt idx="5">
                  <c:v>254.23529315914035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D5-4C2E-B64A-94761B399909}"/>
            </c:ext>
          </c:extLst>
        </c:ser>
        <c:ser>
          <c:idx val="1"/>
          <c:order val="3"/>
          <c:tx>
            <c:strRef>
              <c:f>'PODATKI grafi'!$P$231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grafi'!$Q$231:$V$231</c:f>
              <c:numCache>
                <c:formatCode>0.00</c:formatCode>
                <c:ptCount val="6"/>
                <c:pt idx="0">
                  <c:v>202.4858225547309</c:v>
                </c:pt>
                <c:pt idx="1">
                  <c:v>237.6271704538832</c:v>
                </c:pt>
                <c:pt idx="2">
                  <c:v>293.7422156190093</c:v>
                </c:pt>
                <c:pt idx="3">
                  <c:v>333.15076173975723</c:v>
                </c:pt>
                <c:pt idx="4">
                  <c:v>305.65983182480539</c:v>
                </c:pt>
                <c:pt idx="5">
                  <c:v>241.29922663324251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D5-4C2E-B64A-94761B399909}"/>
            </c:ext>
          </c:extLst>
        </c:ser>
        <c:ser>
          <c:idx val="2"/>
          <c:order val="4"/>
          <c:tx>
            <c:strRef>
              <c:f>'PODATKI grafi'!$P$232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grafi'!$Q$232:$V$232</c:f>
              <c:numCache>
                <c:formatCode>0.00</c:formatCode>
                <c:ptCount val="6"/>
                <c:pt idx="0">
                  <c:v>172.46548277110486</c:v>
                </c:pt>
                <c:pt idx="1">
                  <c:v>204.94905565032585</c:v>
                </c:pt>
                <c:pt idx="2">
                  <c:v>256.77967328673441</c:v>
                </c:pt>
                <c:pt idx="3">
                  <c:v>292.86761943057581</c:v>
                </c:pt>
                <c:pt idx="4">
                  <c:v>266.27269017551441</c:v>
                </c:pt>
                <c:pt idx="5">
                  <c:v>207.86522581123182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D5-4C2E-B64A-94761B399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17632"/>
        <c:axId val="165899648"/>
      </c:lineChart>
      <c:catAx>
        <c:axId val="13916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589907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5899072"/>
        <c:scaling>
          <c:orientation val="minMax"/>
          <c:max val="300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39164672"/>
        <c:crosses val="autoZero"/>
        <c:crossBetween val="midCat"/>
        <c:majorUnit val="25"/>
      </c:valAx>
      <c:catAx>
        <c:axId val="165317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5899648"/>
        <c:crossesAt val="25"/>
        <c:auto val="1"/>
        <c:lblAlgn val="ctr"/>
        <c:lblOffset val="100"/>
        <c:noMultiLvlLbl val="0"/>
      </c:catAx>
      <c:valAx>
        <c:axId val="165899648"/>
        <c:scaling>
          <c:orientation val="minMax"/>
          <c:max val="300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5317632"/>
        <c:crosses val="max"/>
        <c:crossBetween val="midCat"/>
        <c:majorUnit val="50"/>
        <c:minorUnit val="2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grafi'!$Q$158:$V$158</c:f>
              <c:numCache>
                <c:formatCode>0.00</c:formatCode>
                <c:ptCount val="6"/>
                <c:pt idx="0">
                  <c:v>556.21818935698593</c:v>
                </c:pt>
                <c:pt idx="1">
                  <c:v>586.28147194021722</c:v>
                </c:pt>
                <c:pt idx="2">
                  <c:v>622.25061520430302</c:v>
                </c:pt>
                <c:pt idx="3">
                  <c:v>667.31517736750141</c:v>
                </c:pt>
                <c:pt idx="4">
                  <c:v>594.41321188571646</c:v>
                </c:pt>
                <c:pt idx="5">
                  <c:v>561.8011073358532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0-4898-BDB8-EE98D71EFEDE}"/>
            </c:ext>
          </c:extLst>
        </c:ser>
        <c:ser>
          <c:idx val="4"/>
          <c:order val="1"/>
          <c:tx>
            <c:strRef>
              <c:f>'PODATKI grafi'!$P$159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grafi'!$Q$159:$V$159</c:f>
              <c:numCache>
                <c:formatCode>0.00</c:formatCode>
                <c:ptCount val="6"/>
                <c:pt idx="0">
                  <c:v>26.108858541523773</c:v>
                </c:pt>
                <c:pt idx="1">
                  <c:v>29.634986292863232</c:v>
                </c:pt>
                <c:pt idx="2">
                  <c:v>32.951648314383078</c:v>
                </c:pt>
                <c:pt idx="3">
                  <c:v>36.906964012881872</c:v>
                </c:pt>
                <c:pt idx="4">
                  <c:v>26.499926649763665</c:v>
                </c:pt>
                <c:pt idx="5">
                  <c:v>23.917820247105738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C0-4898-BDB8-EE98D71EF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906688"/>
        <c:axId val="161748608"/>
      </c:areaChart>
      <c:lineChart>
        <c:grouping val="standard"/>
        <c:varyColors val="0"/>
        <c:ser>
          <c:idx val="5"/>
          <c:order val="5"/>
          <c:tx>
            <c:strRef>
              <c:f>'PODATKI grafi'!$P$161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grafi'!$Q$161:$V$161</c:f>
              <c:numCache>
                <c:formatCode>0.000</c:formatCode>
                <c:ptCount val="6"/>
                <c:pt idx="0">
                  <c:v>377.99999999999994</c:v>
                </c:pt>
                <c:pt idx="1">
                  <c:v>377.99999999999994</c:v>
                </c:pt>
                <c:pt idx="2">
                  <c:v>377.99999999999994</c:v>
                </c:pt>
                <c:pt idx="3">
                  <c:v>377.99999999999994</c:v>
                </c:pt>
                <c:pt idx="4">
                  <c:v>377.99999999999994</c:v>
                </c:pt>
                <c:pt idx="5">
                  <c:v>377.99999999999994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C0-4898-BDB8-EE98D71EF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06688"/>
        <c:axId val="161748608"/>
      </c:lineChart>
      <c:lineChart>
        <c:grouping val="standard"/>
        <c:varyColors val="0"/>
        <c:ser>
          <c:idx val="0"/>
          <c:order val="2"/>
          <c:tx>
            <c:strRef>
              <c:f>'PODATKI grafi'!$P$156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grafi'!$Q$156:$V$156</c:f>
              <c:numCache>
                <c:formatCode>0.00</c:formatCode>
                <c:ptCount val="6"/>
                <c:pt idx="0">
                  <c:v>582.3270478985097</c:v>
                </c:pt>
                <c:pt idx="1">
                  <c:v>615.91645823308045</c:v>
                </c:pt>
                <c:pt idx="2">
                  <c:v>655.2022635186861</c:v>
                </c:pt>
                <c:pt idx="3">
                  <c:v>704.22214138038328</c:v>
                </c:pt>
                <c:pt idx="4">
                  <c:v>620.91313853548013</c:v>
                </c:pt>
                <c:pt idx="5">
                  <c:v>585.71892758295894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C0-4898-BDB8-EE98D71EFEDE}"/>
            </c:ext>
          </c:extLst>
        </c:ser>
        <c:ser>
          <c:idx val="1"/>
          <c:order val="3"/>
          <c:tx>
            <c:strRef>
              <c:f>'PODATKI grafi'!$P$157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grafi'!$Q$157:$V$157</c:f>
              <c:numCache>
                <c:formatCode>0.00</c:formatCode>
                <c:ptCount val="6"/>
                <c:pt idx="0">
                  <c:v>575.04334204416307</c:v>
                </c:pt>
                <c:pt idx="1">
                  <c:v>607.64905263924663</c:v>
                </c:pt>
                <c:pt idx="2">
                  <c:v>646.00959378338814</c:v>
                </c:pt>
                <c:pt idx="3">
                  <c:v>693.92603941103619</c:v>
                </c:pt>
                <c:pt idx="4">
                  <c:v>613.52033464971623</c:v>
                </c:pt>
                <c:pt idx="5">
                  <c:v>579.04646554943156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C0-4898-BDB8-EE98D71EFEDE}"/>
            </c:ext>
          </c:extLst>
        </c:ser>
        <c:ser>
          <c:idx val="2"/>
          <c:order val="4"/>
          <c:tx>
            <c:strRef>
              <c:f>'PODATKI grafi'!$P$158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grafi'!$Q$158:$V$158</c:f>
              <c:numCache>
                <c:formatCode>0.00</c:formatCode>
                <c:ptCount val="6"/>
                <c:pt idx="0">
                  <c:v>556.21818935698593</c:v>
                </c:pt>
                <c:pt idx="1">
                  <c:v>586.28147194021722</c:v>
                </c:pt>
                <c:pt idx="2">
                  <c:v>622.25061520430302</c:v>
                </c:pt>
                <c:pt idx="3">
                  <c:v>667.31517736750141</c:v>
                </c:pt>
                <c:pt idx="4">
                  <c:v>594.41321188571646</c:v>
                </c:pt>
                <c:pt idx="5">
                  <c:v>561.8011073358532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C0-4898-BDB8-EE98D71EF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07200"/>
        <c:axId val="161749184"/>
      </c:lineChart>
      <c:catAx>
        <c:axId val="161906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174860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174860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1906688"/>
        <c:crosses val="autoZero"/>
        <c:crossBetween val="midCat"/>
      </c:valAx>
      <c:catAx>
        <c:axId val="161907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1749184"/>
        <c:crossesAt val="25"/>
        <c:auto val="1"/>
        <c:lblAlgn val="ctr"/>
        <c:lblOffset val="100"/>
        <c:noMultiLvlLbl val="0"/>
      </c:catAx>
      <c:valAx>
        <c:axId val="16174918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1907200"/>
        <c:crosses val="max"/>
        <c:crossBetween val="midCat"/>
        <c:minorUnit val="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grafi'!$J$223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grafi'!$Q$223:$V$223</c:f>
              <c:numCache>
                <c:formatCode>0</c:formatCode>
                <c:ptCount val="6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  <c:pt idx="4">
                  <c:v>23.94</c:v>
                </c:pt>
                <c:pt idx="5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97-447C-8C4E-E1034A585A8C}"/>
            </c:ext>
          </c:extLst>
        </c:ser>
        <c:ser>
          <c:idx val="1"/>
          <c:order val="2"/>
          <c:tx>
            <c:strRef>
              <c:f>'PODATKI grafi'!$J$224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grafi'!$Q$224:$V$224</c:f>
              <c:numCache>
                <c:formatCode>0</c:formatCode>
                <c:ptCount val="6"/>
                <c:pt idx="0">
                  <c:v>22949.999999999996</c:v>
                </c:pt>
                <c:pt idx="1">
                  <c:v>18360</c:v>
                </c:pt>
                <c:pt idx="2">
                  <c:v>13769.999999999998</c:v>
                </c:pt>
                <c:pt idx="3">
                  <c:v>11474.999999999998</c:v>
                </c:pt>
                <c:pt idx="4">
                  <c:v>13769.999999999998</c:v>
                </c:pt>
                <c:pt idx="5">
                  <c:v>18360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97-447C-8C4E-E1034A585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165184"/>
        <c:axId val="165901952"/>
      </c:barChart>
      <c:lineChart>
        <c:grouping val="standard"/>
        <c:varyColors val="0"/>
        <c:ser>
          <c:idx val="2"/>
          <c:order val="1"/>
          <c:tx>
            <c:strRef>
              <c:f>'PODATKI grafi'!$J$236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grafi'!$Q$236:$V$236</c:f>
              <c:numCache>
                <c:formatCode>#,##0.0</c:formatCode>
                <c:ptCount val="6"/>
                <c:pt idx="0">
                  <c:v>17701.402611667127</c:v>
                </c:pt>
                <c:pt idx="1">
                  <c:v>13138.575458242876</c:v>
                </c:pt>
                <c:pt idx="2">
                  <c:v>8629.6756927657116</c:v>
                </c:pt>
                <c:pt idx="3">
                  <c:v>6498.8480697559662</c:v>
                </c:pt>
                <c:pt idx="4">
                  <c:v>8538.7428818826666</c:v>
                </c:pt>
                <c:pt idx="5">
                  <c:v>13101.601709405648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97-447C-8C4E-E1034A585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65184"/>
        <c:axId val="165901952"/>
      </c:lineChart>
      <c:catAx>
        <c:axId val="139165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5901952"/>
        <c:crosses val="autoZero"/>
        <c:auto val="1"/>
        <c:lblAlgn val="ctr"/>
        <c:lblOffset val="100"/>
        <c:noMultiLvlLbl val="0"/>
      </c:catAx>
      <c:valAx>
        <c:axId val="165901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39165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grafi'!$Q$269:$U$269</c:f>
              <c:numCache>
                <c:formatCode>0.00</c:formatCode>
                <c:ptCount val="5"/>
                <c:pt idx="0">
                  <c:v>391.45181744225425</c:v>
                </c:pt>
                <c:pt idx="1">
                  <c:v>410.92124747889102</c:v>
                </c:pt>
                <c:pt idx="2">
                  <c:v>462.01882171554445</c:v>
                </c:pt>
                <c:pt idx="3">
                  <c:v>491.27370627803504</c:v>
                </c:pt>
                <c:pt idx="4">
                  <c:v>521.50510904930752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E-4C87-8EE0-712FCDB7F887}"/>
            </c:ext>
          </c:extLst>
        </c:ser>
        <c:ser>
          <c:idx val="4"/>
          <c:order val="1"/>
          <c:tx>
            <c:strRef>
              <c:f>'PODATKI grafi'!$P$270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grafi'!$Q$270:$U$270</c:f>
              <c:numCache>
                <c:formatCode>0.00</c:formatCode>
                <c:ptCount val="5"/>
                <c:pt idx="0">
                  <c:v>67.191087230561493</c:v>
                </c:pt>
                <c:pt idx="1">
                  <c:v>70.76415227617332</c:v>
                </c:pt>
                <c:pt idx="2">
                  <c:v>80.292325731137964</c:v>
                </c:pt>
                <c:pt idx="3">
                  <c:v>86.842944981426228</c:v>
                </c:pt>
                <c:pt idx="4">
                  <c:v>94.275730108243465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BE-4C87-8EE0-712FCDB7F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275072"/>
        <c:axId val="166248448"/>
      </c:areaChart>
      <c:lineChart>
        <c:grouping val="standard"/>
        <c:varyColors val="0"/>
        <c:ser>
          <c:idx val="5"/>
          <c:order val="5"/>
          <c:tx>
            <c:strRef>
              <c:f>'PODATKI grafi'!$P$272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grafi'!$Q$272:$U$272</c:f>
              <c:numCache>
                <c:formatCode>0.000</c:formatCode>
                <c:ptCount val="5"/>
                <c:pt idx="0">
                  <c:v>640.99999999999989</c:v>
                </c:pt>
                <c:pt idx="1">
                  <c:v>640.99999999999989</c:v>
                </c:pt>
                <c:pt idx="2">
                  <c:v>640.99999999999989</c:v>
                </c:pt>
                <c:pt idx="3">
                  <c:v>640.99999999999989</c:v>
                </c:pt>
                <c:pt idx="4">
                  <c:v>640.99999999999989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BE-4C87-8EE0-712FCDB7F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275072"/>
        <c:axId val="166248448"/>
      </c:lineChart>
      <c:lineChart>
        <c:grouping val="standard"/>
        <c:varyColors val="0"/>
        <c:ser>
          <c:idx val="0"/>
          <c:order val="2"/>
          <c:tx>
            <c:strRef>
              <c:f>'PODATKI grafi'!$P$267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grafi'!$Q$267:$U$267</c:f>
              <c:numCache>
                <c:formatCode>0.00</c:formatCode>
                <c:ptCount val="5"/>
                <c:pt idx="0">
                  <c:v>458.64290467281575</c:v>
                </c:pt>
                <c:pt idx="1">
                  <c:v>481.68539975506434</c:v>
                </c:pt>
                <c:pt idx="2">
                  <c:v>542.31114744668241</c:v>
                </c:pt>
                <c:pt idx="3">
                  <c:v>578.11665125946126</c:v>
                </c:pt>
                <c:pt idx="4">
                  <c:v>615.78083915755099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BE-4C87-8EE0-712FCDB7F887}"/>
            </c:ext>
          </c:extLst>
        </c:ser>
        <c:ser>
          <c:idx val="1"/>
          <c:order val="3"/>
          <c:tx>
            <c:strRef>
              <c:f>'PODATKI grafi'!$P$268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grafi'!$Q$268:$U$268</c:f>
              <c:numCache>
                <c:formatCode>0.00</c:formatCode>
                <c:ptCount val="5"/>
                <c:pt idx="0">
                  <c:v>439.89830445818711</c:v>
                </c:pt>
                <c:pt idx="1">
                  <c:v>461.9440054925729</c:v>
                </c:pt>
                <c:pt idx="2">
                  <c:v>519.91163572322341</c:v>
                </c:pt>
                <c:pt idx="3">
                  <c:v>553.889683781587</c:v>
                </c:pt>
                <c:pt idx="4">
                  <c:v>589.48031413765716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BE-4C87-8EE0-712FCDB7F887}"/>
            </c:ext>
          </c:extLst>
        </c:ser>
        <c:ser>
          <c:idx val="2"/>
          <c:order val="4"/>
          <c:tx>
            <c:strRef>
              <c:f>'PODATKI grafi'!$P$269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grafi'!$Q$269:$U$269</c:f>
              <c:numCache>
                <c:formatCode>0.00</c:formatCode>
                <c:ptCount val="5"/>
                <c:pt idx="0">
                  <c:v>391.45181744225425</c:v>
                </c:pt>
                <c:pt idx="1">
                  <c:v>410.92124747889102</c:v>
                </c:pt>
                <c:pt idx="2">
                  <c:v>462.01882171554445</c:v>
                </c:pt>
                <c:pt idx="3">
                  <c:v>491.27370627803504</c:v>
                </c:pt>
                <c:pt idx="4">
                  <c:v>521.50510904930752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4BE-4C87-8EE0-712FCDB7F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275584"/>
        <c:axId val="166249024"/>
      </c:lineChart>
      <c:catAx>
        <c:axId val="16627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624844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6248448"/>
        <c:scaling>
          <c:orientation val="minMax"/>
          <c:min val="1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6275072"/>
        <c:crosses val="autoZero"/>
        <c:crossBetween val="midCat"/>
        <c:majorUnit val="50"/>
      </c:valAx>
      <c:catAx>
        <c:axId val="166275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249024"/>
        <c:crossesAt val="25"/>
        <c:auto val="1"/>
        <c:lblAlgn val="ctr"/>
        <c:lblOffset val="100"/>
        <c:noMultiLvlLbl val="0"/>
      </c:catAx>
      <c:valAx>
        <c:axId val="166249024"/>
        <c:scaling>
          <c:orientation val="minMax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6275584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grafi'!$J$260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grafi'!$Q$260:$U$260</c:f>
              <c:numCache>
                <c:formatCode>0</c:formatCode>
                <c:ptCount val="5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  <c:pt idx="4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1-421F-B63F-88F3F9E36678}"/>
            </c:ext>
          </c:extLst>
        </c:ser>
        <c:ser>
          <c:idx val="1"/>
          <c:order val="2"/>
          <c:tx>
            <c:strRef>
              <c:f>'PODATKI grafi'!$J$261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grafi'!$Q$261:$U$261</c:f>
              <c:numCache>
                <c:formatCode>0</c:formatCode>
                <c:ptCount val="5"/>
                <c:pt idx="0">
                  <c:v>38459.999999999993</c:v>
                </c:pt>
                <c:pt idx="1">
                  <c:v>35254.999999999993</c:v>
                </c:pt>
                <c:pt idx="2">
                  <c:v>28844.999999999996</c:v>
                </c:pt>
                <c:pt idx="3">
                  <c:v>25639.999999999996</c:v>
                </c:pt>
                <c:pt idx="4">
                  <c:v>22434.999999999996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21-421F-B63F-88F3F9E36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276608"/>
        <c:axId val="166251328"/>
      </c:barChart>
      <c:lineChart>
        <c:grouping val="standard"/>
        <c:varyColors val="0"/>
        <c:ser>
          <c:idx val="2"/>
          <c:order val="1"/>
          <c:tx>
            <c:strRef>
              <c:f>'PODATKI grafi'!$J$273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grafi'!$Q$273:$U$273</c:f>
              <c:numCache>
                <c:formatCode>#,##0.0</c:formatCode>
                <c:ptCount val="5"/>
                <c:pt idx="0">
                  <c:v>25947.130267688957</c:v>
                </c:pt>
                <c:pt idx="1">
                  <c:v>23325.683126422016</c:v>
                </c:pt>
                <c:pt idx="2">
                  <c:v>18119.14731888815</c:v>
                </c:pt>
                <c:pt idx="3">
                  <c:v>15747.101427621212</c:v>
                </c:pt>
                <c:pt idx="4">
                  <c:v>13550.525553269246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21-421F-B63F-88F3F9E36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276608"/>
        <c:axId val="166251328"/>
      </c:lineChart>
      <c:catAx>
        <c:axId val="16627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6251328"/>
        <c:crosses val="autoZero"/>
        <c:auto val="1"/>
        <c:lblAlgn val="ctr"/>
        <c:lblOffset val="100"/>
        <c:noMultiLvlLbl val="0"/>
      </c:catAx>
      <c:valAx>
        <c:axId val="166251328"/>
        <c:scaling>
          <c:orientation val="minMax"/>
          <c:max val="25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62766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grafi'!$Q$306:$U$306</c:f>
              <c:numCache>
                <c:formatCode>0.00</c:formatCode>
                <c:ptCount val="5"/>
                <c:pt idx="0">
                  <c:v>474.8301193923503</c:v>
                </c:pt>
                <c:pt idx="1">
                  <c:v>514.50017631983962</c:v>
                </c:pt>
                <c:pt idx="2">
                  <c:v>555.5162633472529</c:v>
                </c:pt>
                <c:pt idx="3">
                  <c:v>610.2343367641987</c:v>
                </c:pt>
                <c:pt idx="4">
                  <c:v>682.16729995104049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1-4750-A3F1-2B675774C946}"/>
            </c:ext>
          </c:extLst>
        </c:ser>
        <c:ser>
          <c:idx val="4"/>
          <c:order val="1"/>
          <c:tx>
            <c:strRef>
              <c:f>'PODATKI grafi'!$P$307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grafi'!$Q$307:$U$307</c:f>
              <c:numCache>
                <c:formatCode>0.00</c:formatCode>
                <c:ptCount val="5"/>
                <c:pt idx="0">
                  <c:v>77.548480362262467</c:v>
                </c:pt>
                <c:pt idx="1">
                  <c:v>84.642924452752595</c:v>
                </c:pt>
                <c:pt idx="2">
                  <c:v>93.5250101263332</c:v>
                </c:pt>
                <c:pt idx="3">
                  <c:v>106.65253780583328</c:v>
                </c:pt>
                <c:pt idx="4">
                  <c:v>126.34382932508356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1-4750-A3F1-2B675774C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515712"/>
        <c:axId val="166253632"/>
      </c:areaChart>
      <c:lineChart>
        <c:grouping val="standard"/>
        <c:varyColors val="0"/>
        <c:ser>
          <c:idx val="5"/>
          <c:order val="5"/>
          <c:tx>
            <c:strRef>
              <c:f>'PODATKI grafi'!$P$309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grafi'!$Q$309:$U$309</c:f>
              <c:numCache>
                <c:formatCode>0.000</c:formatCode>
                <c:ptCount val="5"/>
                <c:pt idx="0">
                  <c:v>1414.0000000000002</c:v>
                </c:pt>
                <c:pt idx="1">
                  <c:v>1414.0000000000002</c:v>
                </c:pt>
                <c:pt idx="2">
                  <c:v>1414.0000000000002</c:v>
                </c:pt>
                <c:pt idx="3">
                  <c:v>1414.0000000000005</c:v>
                </c:pt>
                <c:pt idx="4">
                  <c:v>1414.0000000000002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C1-4750-A3F1-2B675774C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15712"/>
        <c:axId val="166253632"/>
      </c:lineChart>
      <c:lineChart>
        <c:grouping val="standard"/>
        <c:varyColors val="0"/>
        <c:ser>
          <c:idx val="0"/>
          <c:order val="2"/>
          <c:tx>
            <c:strRef>
              <c:f>'PODATKI grafi'!$P$304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grafi'!$Q$304:$U$304</c:f>
              <c:numCache>
                <c:formatCode>0.00</c:formatCode>
                <c:ptCount val="5"/>
                <c:pt idx="0">
                  <c:v>552.37859975461276</c:v>
                </c:pt>
                <c:pt idx="1">
                  <c:v>599.14310077259222</c:v>
                </c:pt>
                <c:pt idx="2">
                  <c:v>649.0412734735861</c:v>
                </c:pt>
                <c:pt idx="3">
                  <c:v>716.88687457003198</c:v>
                </c:pt>
                <c:pt idx="4">
                  <c:v>808.51112927612405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C1-4750-A3F1-2B675774C946}"/>
            </c:ext>
          </c:extLst>
        </c:ser>
        <c:ser>
          <c:idx val="1"/>
          <c:order val="3"/>
          <c:tx>
            <c:strRef>
              <c:f>'PODATKI grafi'!$P$305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grafi'!$Q$305:$U$305</c:f>
              <c:numCache>
                <c:formatCode>0.00</c:formatCode>
                <c:ptCount val="5"/>
                <c:pt idx="0">
                  <c:v>530.74455093122333</c:v>
                </c:pt>
                <c:pt idx="1">
                  <c:v>575.52988292988096</c:v>
                </c:pt>
                <c:pt idx="2">
                  <c:v>622.95018018807923</c:v>
                </c:pt>
                <c:pt idx="3">
                  <c:v>687.13353576505131</c:v>
                </c:pt>
                <c:pt idx="4">
                  <c:v>773.26442219193257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C1-4750-A3F1-2B675774C946}"/>
            </c:ext>
          </c:extLst>
        </c:ser>
        <c:ser>
          <c:idx val="2"/>
          <c:order val="4"/>
          <c:tx>
            <c:strRef>
              <c:f>'PODATKI grafi'!$P$306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grafi'!$Q$306:$U$306</c:f>
              <c:numCache>
                <c:formatCode>0.00</c:formatCode>
                <c:ptCount val="5"/>
                <c:pt idx="0">
                  <c:v>474.8301193923503</c:v>
                </c:pt>
                <c:pt idx="1">
                  <c:v>514.50017631983962</c:v>
                </c:pt>
                <c:pt idx="2">
                  <c:v>555.5162633472529</c:v>
                </c:pt>
                <c:pt idx="3">
                  <c:v>610.2343367641987</c:v>
                </c:pt>
                <c:pt idx="4">
                  <c:v>682.16729995104049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C1-4750-A3F1-2B675774C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273536"/>
        <c:axId val="166254208"/>
      </c:lineChart>
      <c:catAx>
        <c:axId val="16651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625363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6253632"/>
        <c:scaling>
          <c:orientation val="minMax"/>
          <c:max val="1000"/>
          <c:min val="2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6515712"/>
        <c:crosses val="autoZero"/>
        <c:crossBetween val="midCat"/>
      </c:valAx>
      <c:catAx>
        <c:axId val="16627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254208"/>
        <c:crossesAt val="25"/>
        <c:auto val="1"/>
        <c:lblAlgn val="ctr"/>
        <c:lblOffset val="100"/>
        <c:noMultiLvlLbl val="0"/>
      </c:catAx>
      <c:valAx>
        <c:axId val="166254208"/>
        <c:scaling>
          <c:orientation val="minMax"/>
          <c:max val="1000"/>
          <c:min val="2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6273536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908532304198061"/>
          <c:y val="0.28989933388927452"/>
          <c:w val="0.53566585146336054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grafi'!$J$297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grafi'!$Q$297:$U$297</c:f>
              <c:numCache>
                <c:formatCode>0</c:formatCode>
                <c:ptCount val="5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  <c:pt idx="4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B-4952-AC65-A29E74C34449}"/>
            </c:ext>
          </c:extLst>
        </c:ser>
        <c:ser>
          <c:idx val="1"/>
          <c:order val="2"/>
          <c:tx>
            <c:strRef>
              <c:f>'PODATKI grafi'!$J$298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grafi'!$Q$298:$U$298</c:f>
              <c:numCache>
                <c:formatCode>0</c:formatCode>
                <c:ptCount val="5"/>
                <c:pt idx="0">
                  <c:v>56560.000000000007</c:v>
                </c:pt>
                <c:pt idx="1">
                  <c:v>49490.000000000007</c:v>
                </c:pt>
                <c:pt idx="2">
                  <c:v>42420.000000000007</c:v>
                </c:pt>
                <c:pt idx="3">
                  <c:v>35350.000000000007</c:v>
                </c:pt>
                <c:pt idx="4">
                  <c:v>28280.000000000004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CB-4952-AC65-A29E74C34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516224"/>
        <c:axId val="166797312"/>
      </c:barChart>
      <c:lineChart>
        <c:grouping val="standard"/>
        <c:varyColors val="0"/>
        <c:ser>
          <c:idx val="2"/>
          <c:order val="1"/>
          <c:tx>
            <c:strRef>
              <c:f>'PODATKI grafi'!$J$310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grafi'!$Q$310:$U$310</c:f>
              <c:numCache>
                <c:formatCode>#,##0.0</c:formatCode>
                <c:ptCount val="5"/>
                <c:pt idx="0">
                  <c:v>46263.419141319464</c:v>
                </c:pt>
                <c:pt idx="1">
                  <c:v>39848.972000052534</c:v>
                </c:pt>
                <c:pt idx="2">
                  <c:v>33745.990153443083</c:v>
                </c:pt>
                <c:pt idx="3">
                  <c:v>27749.541889776141</c:v>
                </c:pt>
                <c:pt idx="4">
                  <c:v>21953.4991189092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CB-4952-AC65-A29E74C34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16224"/>
        <c:axId val="166797312"/>
      </c:lineChart>
      <c:catAx>
        <c:axId val="16651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6797312"/>
        <c:crosses val="autoZero"/>
        <c:auto val="1"/>
        <c:lblAlgn val="ctr"/>
        <c:lblOffset val="100"/>
        <c:noMultiLvlLbl val="0"/>
      </c:catAx>
      <c:valAx>
        <c:axId val="1667973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65162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grafi'!$Q$340:$U$340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grafi'!$Q$343:$T$343</c:f>
              <c:numCache>
                <c:formatCode>0.00</c:formatCode>
                <c:ptCount val="4"/>
                <c:pt idx="0">
                  <c:v>720.35813376522458</c:v>
                </c:pt>
                <c:pt idx="1">
                  <c:v>791.01066233993436</c:v>
                </c:pt>
                <c:pt idx="2">
                  <c:v>893.02825677187604</c:v>
                </c:pt>
                <c:pt idx="3">
                  <c:v>1065.4824764317273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D-4497-9A3D-85FE847A10DC}"/>
            </c:ext>
          </c:extLst>
        </c:ser>
        <c:ser>
          <c:idx val="4"/>
          <c:order val="1"/>
          <c:tx>
            <c:strRef>
              <c:f>'PODATKI grafi'!$P$344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grafi'!$Q$340:$U$340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grafi'!$Q$344:$T$344</c:f>
              <c:numCache>
                <c:formatCode>0.00</c:formatCode>
                <c:ptCount val="4"/>
                <c:pt idx="0">
                  <c:v>113.33495685303058</c:v>
                </c:pt>
                <c:pt idx="1">
                  <c:v>125.85272816668237</c:v>
                </c:pt>
                <c:pt idx="2">
                  <c:v>142.86397046758691</c:v>
                </c:pt>
                <c:pt idx="3">
                  <c:v>173.52473342405187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BD-4497-9A3D-85FE847A1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280640"/>
        <c:axId val="166800768"/>
      </c:areaChart>
      <c:lineChart>
        <c:grouping val="standard"/>
        <c:varyColors val="0"/>
        <c:ser>
          <c:idx val="5"/>
          <c:order val="5"/>
          <c:tx>
            <c:strRef>
              <c:f>'PODATKI grafi'!$P$346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grafi'!$Q$346:$T$346</c:f>
              <c:numCache>
                <c:formatCode>0.000</c:formatCode>
                <c:ptCount val="4"/>
                <c:pt idx="0">
                  <c:v>1671</c:v>
                </c:pt>
                <c:pt idx="1">
                  <c:v>1671</c:v>
                </c:pt>
                <c:pt idx="2">
                  <c:v>1671</c:v>
                </c:pt>
                <c:pt idx="3">
                  <c:v>1671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BD-4497-9A3D-85FE847A1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80640"/>
        <c:axId val="166800768"/>
      </c:lineChart>
      <c:lineChart>
        <c:grouping val="standard"/>
        <c:varyColors val="0"/>
        <c:ser>
          <c:idx val="0"/>
          <c:order val="2"/>
          <c:tx>
            <c:strRef>
              <c:f>'PODATKI grafi'!$P$341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grafi'!$Q$341:$T$341</c:f>
              <c:numCache>
                <c:formatCode>0.00</c:formatCode>
                <c:ptCount val="4"/>
                <c:pt idx="0">
                  <c:v>833.69309061825516</c:v>
                </c:pt>
                <c:pt idx="1">
                  <c:v>916.86339050661672</c:v>
                </c:pt>
                <c:pt idx="2">
                  <c:v>1035.892227239463</c:v>
                </c:pt>
                <c:pt idx="3">
                  <c:v>1239.0072098557791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BD-4497-9A3D-85FE847A10DC}"/>
            </c:ext>
          </c:extLst>
        </c:ser>
        <c:ser>
          <c:idx val="1"/>
          <c:order val="3"/>
          <c:tx>
            <c:strRef>
              <c:f>'PODATKI grafi'!$P$342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grafi'!$Q$342:$T$342</c:f>
              <c:numCache>
                <c:formatCode>0.00</c:formatCode>
                <c:ptCount val="4"/>
                <c:pt idx="0">
                  <c:v>802.07552727592588</c:v>
                </c:pt>
                <c:pt idx="1">
                  <c:v>881.75368812436693</c:v>
                </c:pt>
                <c:pt idx="2">
                  <c:v>996.03682197863873</c:v>
                </c:pt>
                <c:pt idx="3">
                  <c:v>1190.5982334654639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BD-4497-9A3D-85FE847A10DC}"/>
            </c:ext>
          </c:extLst>
        </c:ser>
        <c:ser>
          <c:idx val="2"/>
          <c:order val="4"/>
          <c:tx>
            <c:strRef>
              <c:f>'PODATKI grafi'!$P$343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grafi'!$Q$343:$T$343</c:f>
              <c:numCache>
                <c:formatCode>0.00</c:formatCode>
                <c:ptCount val="4"/>
                <c:pt idx="0">
                  <c:v>720.35813376522458</c:v>
                </c:pt>
                <c:pt idx="1">
                  <c:v>791.01066233993436</c:v>
                </c:pt>
                <c:pt idx="2">
                  <c:v>893.02825677187604</c:v>
                </c:pt>
                <c:pt idx="3">
                  <c:v>1065.4824764317273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BD-4497-9A3D-85FE847A1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81152"/>
        <c:axId val="166801344"/>
      </c:lineChart>
      <c:catAx>
        <c:axId val="167280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680076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6800768"/>
        <c:scaling>
          <c:orientation val="minMax"/>
          <c:max val="1000"/>
          <c:min val="2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7280640"/>
        <c:crosses val="autoZero"/>
        <c:crossBetween val="midCat"/>
      </c:valAx>
      <c:catAx>
        <c:axId val="167281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801344"/>
        <c:crossesAt val="25"/>
        <c:auto val="1"/>
        <c:lblAlgn val="ctr"/>
        <c:lblOffset val="100"/>
        <c:noMultiLvlLbl val="0"/>
      </c:catAx>
      <c:valAx>
        <c:axId val="166801344"/>
        <c:scaling>
          <c:orientation val="minMax"/>
          <c:max val="1000"/>
          <c:min val="2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7281152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9456707049859345"/>
          <c:y val="0.5625215572757715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grafi'!$J$334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grafi'!$Q$334:$T$334</c:f>
              <c:numCache>
                <c:formatCode>0</c:formatCode>
                <c:ptCount val="4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D-4DE0-9F78-11276D0B9C55}"/>
            </c:ext>
          </c:extLst>
        </c:ser>
        <c:ser>
          <c:idx val="1"/>
          <c:order val="2"/>
          <c:tx>
            <c:strRef>
              <c:f>'PODATKI grafi'!$J$335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grafi'!$Q$335:$T$335</c:f>
              <c:numCache>
                <c:formatCode>0</c:formatCode>
                <c:ptCount val="4"/>
                <c:pt idx="0">
                  <c:v>50130</c:v>
                </c:pt>
                <c:pt idx="1">
                  <c:v>41775</c:v>
                </c:pt>
                <c:pt idx="2">
                  <c:v>33420</c:v>
                </c:pt>
                <c:pt idx="3">
                  <c:v>25065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D-4DE0-9F78-11276D0B9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7282176"/>
        <c:axId val="166803072"/>
      </c:barChart>
      <c:lineChart>
        <c:grouping val="standard"/>
        <c:varyColors val="0"/>
        <c:ser>
          <c:idx val="2"/>
          <c:order val="1"/>
          <c:tx>
            <c:strRef>
              <c:f>'PODATKI grafi'!$J$310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grafi'!$Q$347:$T$347</c:f>
              <c:numCache>
                <c:formatCode>#,##0.0</c:formatCode>
                <c:ptCount val="4"/>
                <c:pt idx="0">
                  <c:v>38738.35239348832</c:v>
                </c:pt>
                <c:pt idx="1">
                  <c:v>31810.564867945919</c:v>
                </c:pt>
                <c:pt idx="2">
                  <c:v>24880.10300646297</c:v>
                </c:pt>
                <c:pt idx="3">
                  <c:v>17993.286941565049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AD-4DE0-9F78-11276D0B9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82176"/>
        <c:axId val="166803072"/>
      </c:lineChart>
      <c:catAx>
        <c:axId val="16728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6803072"/>
        <c:crosses val="autoZero"/>
        <c:auto val="1"/>
        <c:lblAlgn val="ctr"/>
        <c:lblOffset val="100"/>
        <c:noMultiLvlLbl val="0"/>
      </c:catAx>
      <c:valAx>
        <c:axId val="166803072"/>
        <c:scaling>
          <c:orientation val="minMax"/>
          <c:max val="35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72821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grafi'!$Q$380:$V$380</c:f>
              <c:numCache>
                <c:formatCode>0.00</c:formatCode>
                <c:ptCount val="6"/>
                <c:pt idx="0">
                  <c:v>845.04751653070616</c:v>
                </c:pt>
                <c:pt idx="1">
                  <c:v>982.03774632188617</c:v>
                </c:pt>
                <c:pt idx="2">
                  <c:v>1175.1949636354104</c:v>
                </c:pt>
                <c:pt idx="3">
                  <c:v>1309.4394485948826</c:v>
                </c:pt>
                <c:pt idx="4">
                  <c:v>1029.3948166584416</c:v>
                </c:pt>
                <c:pt idx="5">
                  <c:v>1135.2965806256577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9-453E-8B34-BBD39018261B}"/>
            </c:ext>
          </c:extLst>
        </c:ser>
        <c:ser>
          <c:idx val="4"/>
          <c:order val="1"/>
          <c:tx>
            <c:strRef>
              <c:f>'PODATKI grafi'!$P$381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grafi'!$Q$381:$V$381</c:f>
              <c:numCache>
                <c:formatCode>0.00</c:formatCode>
                <c:ptCount val="6"/>
                <c:pt idx="0">
                  <c:v>169.48860626791588</c:v>
                </c:pt>
                <c:pt idx="1">
                  <c:v>197.02397112053552</c:v>
                </c:pt>
                <c:pt idx="2">
                  <c:v>238.21349344696273</c:v>
                </c:pt>
                <c:pt idx="3">
                  <c:v>267.6812087901842</c:v>
                </c:pt>
                <c:pt idx="4">
                  <c:v>215.15480396002158</c:v>
                </c:pt>
                <c:pt idx="5">
                  <c:v>237.9849808400586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F9-453E-8B34-BBD390182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283712"/>
        <c:axId val="166804800"/>
      </c:areaChart>
      <c:lineChart>
        <c:grouping val="standard"/>
        <c:varyColors val="0"/>
        <c:ser>
          <c:idx val="5"/>
          <c:order val="5"/>
          <c:tx>
            <c:strRef>
              <c:f>'PODATKI grafi'!$P$383</c:f>
              <c:strCache>
                <c:ptCount val="1"/>
                <c:pt idx="0">
                  <c:v>Odkupna cena; ocena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grafi'!$Q$383:$V$383</c:f>
              <c:numCache>
                <c:formatCode>0.000</c:formatCode>
                <c:ptCount val="6"/>
                <c:pt idx="0">
                  <c:v>690</c:v>
                </c:pt>
                <c:pt idx="1">
                  <c:v>690</c:v>
                </c:pt>
                <c:pt idx="2">
                  <c:v>690</c:v>
                </c:pt>
                <c:pt idx="3">
                  <c:v>690</c:v>
                </c:pt>
                <c:pt idx="4">
                  <c:v>690</c:v>
                </c:pt>
                <c:pt idx="5">
                  <c:v>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F9-453E-8B34-BBD390182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83712"/>
        <c:axId val="166804800"/>
      </c:lineChart>
      <c:lineChart>
        <c:grouping val="standard"/>
        <c:varyColors val="0"/>
        <c:ser>
          <c:idx val="0"/>
          <c:order val="2"/>
          <c:tx>
            <c:strRef>
              <c:f>'PODATKI grafi'!$P$378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grafi'!$Q$378:$V$378</c:f>
              <c:numCache>
                <c:formatCode>0.00</c:formatCode>
                <c:ptCount val="6"/>
                <c:pt idx="0">
                  <c:v>1014.536122798622</c:v>
                </c:pt>
                <c:pt idx="1">
                  <c:v>1179.0617174424217</c:v>
                </c:pt>
                <c:pt idx="2">
                  <c:v>1413.4084570823732</c:v>
                </c:pt>
                <c:pt idx="3">
                  <c:v>1577.1206573850668</c:v>
                </c:pt>
                <c:pt idx="4">
                  <c:v>1244.5496206184632</c:v>
                </c:pt>
                <c:pt idx="5">
                  <c:v>1373.2815614657163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F9-453E-8B34-BBD39018261B}"/>
            </c:ext>
          </c:extLst>
        </c:ser>
        <c:ser>
          <c:idx val="1"/>
          <c:order val="3"/>
          <c:tx>
            <c:strRef>
              <c:f>'PODATKI grafi'!$P$379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grafi'!$Q$379:$V$379</c:f>
              <c:numCache>
                <c:formatCode>0.00</c:formatCode>
                <c:ptCount val="6"/>
                <c:pt idx="0">
                  <c:v>967.25312297864525</c:v>
                </c:pt>
                <c:pt idx="1">
                  <c:v>1124.0970528779053</c:v>
                </c:pt>
                <c:pt idx="2">
                  <c:v>1346.9529659683317</c:v>
                </c:pt>
                <c:pt idx="3">
                  <c:v>1502.4444250073545</c:v>
                </c:pt>
                <c:pt idx="4">
                  <c:v>1184.5269159605004</c:v>
                </c:pt>
                <c:pt idx="5">
                  <c:v>1306.8898195427798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F9-453E-8B34-BBD39018261B}"/>
            </c:ext>
          </c:extLst>
        </c:ser>
        <c:ser>
          <c:idx val="2"/>
          <c:order val="4"/>
          <c:tx>
            <c:strRef>
              <c:f>'PODATKI grafi'!$P$380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grafi'!$Q$380:$V$380</c:f>
              <c:numCache>
                <c:formatCode>0.00</c:formatCode>
                <c:ptCount val="6"/>
                <c:pt idx="0">
                  <c:v>845.04751653070616</c:v>
                </c:pt>
                <c:pt idx="1">
                  <c:v>982.03774632188617</c:v>
                </c:pt>
                <c:pt idx="2">
                  <c:v>1175.1949636354104</c:v>
                </c:pt>
                <c:pt idx="3">
                  <c:v>1309.4394485948826</c:v>
                </c:pt>
                <c:pt idx="4">
                  <c:v>1029.3948166584416</c:v>
                </c:pt>
                <c:pt idx="5">
                  <c:v>1135.2965806256577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6F9-453E-8B34-BBD390182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17248"/>
        <c:axId val="61898752"/>
      </c:lineChart>
      <c:catAx>
        <c:axId val="16728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 b="0" i="0" u="none" strike="noStrike" baseline="0">
                    <a:effectLst/>
                  </a:rPr>
                  <a:t>Število trsov (kos/ha)</a:t>
                </a:r>
                <a:r>
                  <a:rPr lang="sl-SI" sz="1000"/>
                  <a:t>; Pridelek na trs (kg/kos)</a:t>
                </a:r>
                <a:r>
                  <a:rPr lang="sl-SI" sz="1000" baseline="0"/>
                  <a:t> </a:t>
                </a:r>
                <a:endParaRPr lang="sl-SI" sz="1000"/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680480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6804800"/>
        <c:scaling>
          <c:orientation val="minMax"/>
          <c:max val="14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7283712"/>
        <c:crosses val="autoZero"/>
        <c:crossBetween val="midCat"/>
        <c:majorUnit val="200"/>
      </c:valAx>
      <c:catAx>
        <c:axId val="166517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8752"/>
        <c:crossesAt val="25"/>
        <c:auto val="1"/>
        <c:lblAlgn val="ctr"/>
        <c:lblOffset val="100"/>
        <c:noMultiLvlLbl val="0"/>
      </c:catAx>
      <c:valAx>
        <c:axId val="6189875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6517248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grafi'!$J$371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grafi'!$Q$371:$V$371</c:f>
              <c:numCache>
                <c:formatCode>0</c:formatCode>
                <c:ptCount val="6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  <c:pt idx="4">
                  <c:v>23.94</c:v>
                </c:pt>
                <c:pt idx="5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6-4A45-87D7-06B35342B57C}"/>
            </c:ext>
          </c:extLst>
        </c:ser>
        <c:ser>
          <c:idx val="1"/>
          <c:order val="2"/>
          <c:tx>
            <c:strRef>
              <c:f>'PODATKI grafi'!$J$372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grafi'!$Q$372:$V$372</c:f>
              <c:numCache>
                <c:formatCode>0</c:formatCode>
                <c:ptCount val="6"/>
                <c:pt idx="0">
                  <c:v>8280</c:v>
                </c:pt>
                <c:pt idx="1">
                  <c:v>6899.9999999999991</c:v>
                </c:pt>
                <c:pt idx="2">
                  <c:v>5520</c:v>
                </c:pt>
                <c:pt idx="3">
                  <c:v>4830</c:v>
                </c:pt>
                <c:pt idx="4">
                  <c:v>6986.2499999999991</c:v>
                </c:pt>
                <c:pt idx="5">
                  <c:v>6209.9999999999991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66-4A45-87D7-06B35342B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7170048"/>
        <c:axId val="61901056"/>
      </c:barChart>
      <c:lineChart>
        <c:grouping val="standard"/>
        <c:varyColors val="0"/>
        <c:ser>
          <c:idx val="2"/>
          <c:order val="1"/>
          <c:tx>
            <c:strRef>
              <c:f>'PODATKI grafi'!$J$384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grafi'!$Q$384:$V$384</c:f>
              <c:numCache>
                <c:formatCode>#,##0.0</c:formatCode>
                <c:ptCount val="6"/>
                <c:pt idx="0">
                  <c:v>3597.646208020722</c:v>
                </c:pt>
                <c:pt idx="1">
                  <c:v>2433.6194721472775</c:v>
                </c:pt>
                <c:pt idx="2">
                  <c:v>1365.2937190621824</c:v>
                </c:pt>
                <c:pt idx="3">
                  <c:v>857.56878651030274</c:v>
                </c:pt>
                <c:pt idx="4">
                  <c:v>2352.2829472173253</c:v>
                </c:pt>
                <c:pt idx="5">
                  <c:v>1720.5014166167921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66-4A45-87D7-06B35342B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170048"/>
        <c:axId val="61901056"/>
      </c:lineChart>
      <c:catAx>
        <c:axId val="16717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sl-SI" sz="1000" b="0"/>
                  <a:t>Število</a:t>
                </a:r>
                <a:r>
                  <a:rPr lang="sl-SI" sz="1000" b="0" baseline="0"/>
                  <a:t> trsov (kos/ha</a:t>
                </a:r>
                <a:r>
                  <a:rPr lang="en-US" sz="1000" b="0"/>
                  <a:t>); </a:t>
                </a:r>
                <a:r>
                  <a:rPr lang="sl-SI" sz="1000" b="0"/>
                  <a:t>Pridelek</a:t>
                </a:r>
                <a:r>
                  <a:rPr lang="sl-SI" sz="1000" b="0" baseline="0"/>
                  <a:t> na trs (kg/kos)</a:t>
                </a:r>
                <a:endParaRPr lang="en-US" sz="1000" b="0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1901056"/>
        <c:crosses val="autoZero"/>
        <c:auto val="1"/>
        <c:lblAlgn val="ctr"/>
        <c:lblOffset val="100"/>
        <c:noMultiLvlLbl val="0"/>
      </c:catAx>
      <c:valAx>
        <c:axId val="61901056"/>
        <c:scaling>
          <c:orientation val="minMax"/>
          <c:max val="8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7170048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grafi'!$Q$417:$V$417</c:f>
              <c:numCache>
                <c:formatCode>0.00</c:formatCode>
                <c:ptCount val="6"/>
                <c:pt idx="0">
                  <c:v>739.75642877812538</c:v>
                </c:pt>
                <c:pt idx="1">
                  <c:v>858.52950059719831</c:v>
                </c:pt>
                <c:pt idx="2">
                  <c:v>935.09771637927713</c:v>
                </c:pt>
                <c:pt idx="3">
                  <c:v>1029.7063576774945</c:v>
                </c:pt>
                <c:pt idx="4">
                  <c:v>966.42974758626156</c:v>
                </c:pt>
                <c:pt idx="5">
                  <c:v>903.76568517229282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4-49F1-A9EB-F9C5A06D479C}"/>
            </c:ext>
          </c:extLst>
        </c:ser>
        <c:ser>
          <c:idx val="4"/>
          <c:order val="1"/>
          <c:tx>
            <c:strRef>
              <c:f>'PODATKI grafi'!$P$418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grafi'!$Q$418:$V$418</c:f>
              <c:numCache>
                <c:formatCode>0.00</c:formatCode>
                <c:ptCount val="6"/>
                <c:pt idx="0">
                  <c:v>123.6341495796039</c:v>
                </c:pt>
                <c:pt idx="1">
                  <c:v>143.54359958972111</c:v>
                </c:pt>
                <c:pt idx="2">
                  <c:v>156.72984453197489</c:v>
                </c:pt>
                <c:pt idx="3">
                  <c:v>173.29424965239468</c:v>
                </c:pt>
                <c:pt idx="4">
                  <c:v>168.21451661653987</c:v>
                </c:pt>
                <c:pt idx="5">
                  <c:v>145.24517244740957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B4-49F1-A9EB-F9C5A06D4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172096"/>
        <c:axId val="61903360"/>
      </c:areaChart>
      <c:lineChart>
        <c:grouping val="standard"/>
        <c:varyColors val="0"/>
        <c:ser>
          <c:idx val="5"/>
          <c:order val="5"/>
          <c:tx>
            <c:strRef>
              <c:f>'PODATKI grafi'!$P$420</c:f>
              <c:strCache>
                <c:ptCount val="1"/>
                <c:pt idx="0">
                  <c:v>Odkupna cena; ocena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grafi'!$Q$420:$V$420</c:f>
              <c:numCache>
                <c:formatCode>0.000</c:formatCode>
                <c:ptCount val="6"/>
                <c:pt idx="0">
                  <c:v>820</c:v>
                </c:pt>
                <c:pt idx="1">
                  <c:v>820</c:v>
                </c:pt>
                <c:pt idx="2">
                  <c:v>820</c:v>
                </c:pt>
                <c:pt idx="3">
                  <c:v>820</c:v>
                </c:pt>
                <c:pt idx="4">
                  <c:v>820</c:v>
                </c:pt>
                <c:pt idx="5">
                  <c:v>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B4-49F1-A9EB-F9C5A06D4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172096"/>
        <c:axId val="61903360"/>
      </c:lineChart>
      <c:lineChart>
        <c:grouping val="standard"/>
        <c:varyColors val="0"/>
        <c:ser>
          <c:idx val="0"/>
          <c:order val="2"/>
          <c:tx>
            <c:strRef>
              <c:f>'PODATKI grafi'!$P$415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grafi'!$Q$415:$V$415</c:f>
              <c:numCache>
                <c:formatCode>0.00</c:formatCode>
                <c:ptCount val="6"/>
                <c:pt idx="0">
                  <c:v>863.39057835772928</c:v>
                </c:pt>
                <c:pt idx="1">
                  <c:v>1002.0731001869194</c:v>
                </c:pt>
                <c:pt idx="2">
                  <c:v>1091.827560911252</c:v>
                </c:pt>
                <c:pt idx="3">
                  <c:v>1203.0006073298891</c:v>
                </c:pt>
                <c:pt idx="4">
                  <c:v>1134.6442642028014</c:v>
                </c:pt>
                <c:pt idx="5">
                  <c:v>1049.0108576197024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B4-49F1-A9EB-F9C5A06D479C}"/>
            </c:ext>
          </c:extLst>
        </c:ser>
        <c:ser>
          <c:idx val="1"/>
          <c:order val="3"/>
          <c:tx>
            <c:strRef>
              <c:f>'PODATKI grafi'!$P$416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grafi'!$Q$416:$V$416</c:f>
              <c:numCache>
                <c:formatCode>0.00</c:formatCode>
                <c:ptCount val="6"/>
                <c:pt idx="0">
                  <c:v>828.89980283577609</c:v>
                </c:pt>
                <c:pt idx="1">
                  <c:v>962.02809572903334</c:v>
                </c:pt>
                <c:pt idx="2">
                  <c:v>1048.1039303146554</c:v>
                </c:pt>
                <c:pt idx="3">
                  <c:v>1154.6559300353879</c:v>
                </c:pt>
                <c:pt idx="4">
                  <c:v>1087.7167029110135</c:v>
                </c:pt>
                <c:pt idx="5">
                  <c:v>1008.4911577182974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B4-49F1-A9EB-F9C5A06D479C}"/>
            </c:ext>
          </c:extLst>
        </c:ser>
        <c:ser>
          <c:idx val="2"/>
          <c:order val="4"/>
          <c:tx>
            <c:strRef>
              <c:f>'PODATKI grafi'!$P$417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grafi'!$Q$417:$V$417</c:f>
              <c:numCache>
                <c:formatCode>0.00</c:formatCode>
                <c:ptCount val="6"/>
                <c:pt idx="0">
                  <c:v>739.75642877812538</c:v>
                </c:pt>
                <c:pt idx="1">
                  <c:v>858.52950059719831</c:v>
                </c:pt>
                <c:pt idx="2">
                  <c:v>935.09771637927713</c:v>
                </c:pt>
                <c:pt idx="3">
                  <c:v>1029.7063576774945</c:v>
                </c:pt>
                <c:pt idx="4">
                  <c:v>966.42974758626156</c:v>
                </c:pt>
                <c:pt idx="5">
                  <c:v>903.76568517229282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B4-49F1-A9EB-F9C5A06D4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172608"/>
        <c:axId val="61903936"/>
      </c:lineChart>
      <c:catAx>
        <c:axId val="16717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 b="0" i="0" u="none" strike="noStrike" baseline="0">
                    <a:effectLst/>
                  </a:rPr>
                  <a:t>Število trsov (kos/ha)</a:t>
                </a:r>
                <a:r>
                  <a:rPr lang="sl-SI" sz="1000"/>
                  <a:t>; Pridelek na trs (kg/kos)</a:t>
                </a:r>
                <a:r>
                  <a:rPr lang="sl-SI" sz="1000" baseline="0"/>
                  <a:t> </a:t>
                </a:r>
                <a:endParaRPr lang="sl-SI" sz="1000"/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6190336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61903360"/>
        <c:scaling>
          <c:orientation val="minMax"/>
          <c:max val="14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7172096"/>
        <c:crosses val="autoZero"/>
        <c:crossBetween val="midCat"/>
        <c:majorUnit val="200"/>
      </c:valAx>
      <c:catAx>
        <c:axId val="167172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903936"/>
        <c:crossesAt val="25"/>
        <c:auto val="1"/>
        <c:lblAlgn val="ctr"/>
        <c:lblOffset val="100"/>
        <c:noMultiLvlLbl val="0"/>
      </c:catAx>
      <c:valAx>
        <c:axId val="61903936"/>
        <c:scaling>
          <c:orientation val="minMax"/>
          <c:max val="14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7172608"/>
        <c:crosses val="max"/>
        <c:crossBetween val="midCat"/>
        <c:majorUnit val="200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grafi'!$J$149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grafi'!$Q$149:$V$149</c:f>
              <c:numCache>
                <c:formatCode>0</c:formatCode>
                <c:ptCount val="6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  <c:pt idx="4">
                  <c:v>23.94</c:v>
                </c:pt>
                <c:pt idx="5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E-4457-BEF1-C1992F6BD510}"/>
            </c:ext>
          </c:extLst>
        </c:ser>
        <c:ser>
          <c:idx val="1"/>
          <c:order val="2"/>
          <c:tx>
            <c:strRef>
              <c:f>'PODATKI grafi'!$J$113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grafi'!$Q$150:$V$150</c:f>
              <c:numCache>
                <c:formatCode>0</c:formatCode>
                <c:ptCount val="6"/>
                <c:pt idx="0">
                  <c:v>1511.9999999999998</c:v>
                </c:pt>
                <c:pt idx="1">
                  <c:v>1322.9999999999998</c:v>
                </c:pt>
                <c:pt idx="2">
                  <c:v>1133.9999999999998</c:v>
                </c:pt>
                <c:pt idx="3">
                  <c:v>944.99999999999989</c:v>
                </c:pt>
                <c:pt idx="4">
                  <c:v>1133.9999999999998</c:v>
                </c:pt>
                <c:pt idx="5">
                  <c:v>1322.9999999999998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3E-4457-BEF1-C1992F6BD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404224"/>
        <c:axId val="161980992"/>
      </c:barChart>
      <c:lineChart>
        <c:grouping val="standard"/>
        <c:varyColors val="0"/>
        <c:ser>
          <c:idx val="2"/>
          <c:order val="1"/>
          <c:tx>
            <c:strRef>
              <c:f>'PODATKI grafi'!$J$162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grafi'!$Q$162:$V$162</c:f>
              <c:numCache>
                <c:formatCode>#,##0.0</c:formatCode>
                <c:ptCount val="6"/>
                <c:pt idx="0">
                  <c:v>-376.11860799462761</c:v>
                </c:pt>
                <c:pt idx="1">
                  <c:v>-395.25763272019481</c:v>
                </c:pt>
                <c:pt idx="2">
                  <c:v>-410.96432763127905</c:v>
                </c:pt>
                <c:pt idx="3">
                  <c:v>-418.23461162611136</c:v>
                </c:pt>
                <c:pt idx="4">
                  <c:v>-380.03639942170071</c:v>
                </c:pt>
                <c:pt idx="5">
                  <c:v>-363.56553802401118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3E-4457-BEF1-C1992F6BD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04224"/>
        <c:axId val="161980992"/>
      </c:lineChart>
      <c:catAx>
        <c:axId val="15640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161980992"/>
        <c:crosses val="autoZero"/>
        <c:auto val="1"/>
        <c:lblAlgn val="ctr"/>
        <c:lblOffset val="100"/>
        <c:noMultiLvlLbl val="0"/>
      </c:catAx>
      <c:valAx>
        <c:axId val="1619809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564042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grafi'!$J$408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grafi'!$Q$408:$V$408</c:f>
              <c:numCache>
                <c:formatCode>0</c:formatCode>
                <c:ptCount val="6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  <c:pt idx="4">
                  <c:v>23.94</c:v>
                </c:pt>
                <c:pt idx="5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6-4971-BAF3-68277222433B}"/>
            </c:ext>
          </c:extLst>
        </c:ser>
        <c:ser>
          <c:idx val="1"/>
          <c:order val="2"/>
          <c:tx>
            <c:strRef>
              <c:f>'PODATKI grafi'!$J$409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grafi'!$Q$409:$V$409</c:f>
              <c:numCache>
                <c:formatCode>0</c:formatCode>
                <c:ptCount val="6"/>
                <c:pt idx="0">
                  <c:v>9840</c:v>
                </c:pt>
                <c:pt idx="1">
                  <c:v>8200</c:v>
                </c:pt>
                <c:pt idx="2">
                  <c:v>7380</c:v>
                </c:pt>
                <c:pt idx="3">
                  <c:v>6560</c:v>
                </c:pt>
                <c:pt idx="4">
                  <c:v>7380</c:v>
                </c:pt>
                <c:pt idx="5">
                  <c:v>7380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6-4971-BAF3-682772224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7173632"/>
        <c:axId val="61906240"/>
      </c:barChart>
      <c:lineChart>
        <c:grouping val="standard"/>
        <c:varyColors val="0"/>
        <c:ser>
          <c:idx val="2"/>
          <c:order val="1"/>
          <c:tx>
            <c:strRef>
              <c:f>'PODATKI grafi'!$J$421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grafi'!$Q$421:$V$421</c:f>
              <c:numCache>
                <c:formatCode>#,##0.0</c:formatCode>
                <c:ptCount val="6"/>
                <c:pt idx="0">
                  <c:v>5675.7921025257674</c:v>
                </c:pt>
                <c:pt idx="1">
                  <c:v>4238.9719804057786</c:v>
                </c:pt>
                <c:pt idx="2">
                  <c:v>3542.2158467492859</c:v>
                </c:pt>
                <c:pt idx="3">
                  <c:v>2855.6330490741339</c:v>
                </c:pt>
                <c:pt idx="4">
                  <c:v>3479.3836959231194</c:v>
                </c:pt>
                <c:pt idx="5">
                  <c:v>3605.0479975754515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36-4971-BAF3-682772224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173632"/>
        <c:axId val="61906240"/>
      </c:lineChart>
      <c:catAx>
        <c:axId val="16717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sl-SI" sz="1000" b="0"/>
                  <a:t>Število trsov (kos/ha)</a:t>
                </a:r>
                <a:r>
                  <a:rPr lang="en-US" sz="1000" b="0"/>
                  <a:t>; </a:t>
                </a:r>
                <a:r>
                  <a:rPr lang="sl-SI" sz="1000" b="0"/>
                  <a:t>Pridelek </a:t>
                </a:r>
                <a:r>
                  <a:rPr lang="en-US" sz="1000" b="0"/>
                  <a:t>(</a:t>
                </a:r>
                <a:r>
                  <a:rPr lang="sl-SI" sz="1000" b="0"/>
                  <a:t>kg/kos</a:t>
                </a:r>
                <a:r>
                  <a:rPr lang="en-US" sz="1000" b="0"/>
                  <a:t>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1906240"/>
        <c:crosses val="autoZero"/>
        <c:auto val="1"/>
        <c:lblAlgn val="ctr"/>
        <c:lblOffset val="100"/>
        <c:noMultiLvlLbl val="0"/>
      </c:catAx>
      <c:valAx>
        <c:axId val="61906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717363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grafi'!$Q$195:$V$195</c:f>
              <c:numCache>
                <c:formatCode>0.00</c:formatCode>
                <c:ptCount val="6"/>
                <c:pt idx="0">
                  <c:v>227.76493046308465</c:v>
                </c:pt>
                <c:pt idx="1">
                  <c:v>233.04356011399241</c:v>
                </c:pt>
                <c:pt idx="2">
                  <c:v>242.26535482189735</c:v>
                </c:pt>
                <c:pt idx="3">
                  <c:v>253.45301256352545</c:v>
                </c:pt>
                <c:pt idx="4">
                  <c:v>263.58078064467009</c:v>
                </c:pt>
                <c:pt idx="5">
                  <c:v>233.8034164910427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8-4002-9385-6EA28BF64144}"/>
            </c:ext>
          </c:extLst>
        </c:ser>
        <c:ser>
          <c:idx val="4"/>
          <c:order val="1"/>
          <c:tx>
            <c:strRef>
              <c:f>'PODATKI grafi'!$P$196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grafi'!$Q$196:$V$196</c:f>
              <c:numCache>
                <c:formatCode>0.00</c:formatCode>
                <c:ptCount val="6"/>
                <c:pt idx="0">
                  <c:v>10.45699933234286</c:v>
                </c:pt>
                <c:pt idx="1">
                  <c:v>10.749592444188352</c:v>
                </c:pt>
                <c:pt idx="2">
                  <c:v>11.785564550992035</c:v>
                </c:pt>
                <c:pt idx="3">
                  <c:v>13.051685676866924</c:v>
                </c:pt>
                <c:pt idx="4">
                  <c:v>14.634337084210529</c:v>
                </c:pt>
                <c:pt idx="5">
                  <c:v>9.6814467559331092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F8-4002-9385-6EA28BF64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908736"/>
        <c:axId val="161983296"/>
      </c:areaChart>
      <c:lineChart>
        <c:grouping val="standard"/>
        <c:varyColors val="0"/>
        <c:ser>
          <c:idx val="5"/>
          <c:order val="5"/>
          <c:tx>
            <c:strRef>
              <c:f>'PODATKI grafi'!$P$198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grafi'!$Q$198:$V$198</c:f>
              <c:numCache>
                <c:formatCode>0.000</c:formatCode>
                <c:ptCount val="6"/>
                <c:pt idx="0">
                  <c:v>142</c:v>
                </c:pt>
                <c:pt idx="1">
                  <c:v>142</c:v>
                </c:pt>
                <c:pt idx="2">
                  <c:v>142</c:v>
                </c:pt>
                <c:pt idx="3">
                  <c:v>142</c:v>
                </c:pt>
                <c:pt idx="4">
                  <c:v>142</c:v>
                </c:pt>
                <c:pt idx="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F8-4002-9385-6EA28BF64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08736"/>
        <c:axId val="161983296"/>
      </c:lineChart>
      <c:lineChart>
        <c:grouping val="standard"/>
        <c:varyColors val="0"/>
        <c:ser>
          <c:idx val="0"/>
          <c:order val="2"/>
          <c:tx>
            <c:strRef>
              <c:f>'PODATKI grafi'!$P$193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grafi'!$Q$193:$V$193</c:f>
              <c:numCache>
                <c:formatCode>0.00</c:formatCode>
                <c:ptCount val="6"/>
                <c:pt idx="0">
                  <c:v>238.22192979542751</c:v>
                </c:pt>
                <c:pt idx="1">
                  <c:v>243.79315255818076</c:v>
                </c:pt>
                <c:pt idx="2">
                  <c:v>254.05091937288938</c:v>
                </c:pt>
                <c:pt idx="3">
                  <c:v>266.50469824039237</c:v>
                </c:pt>
                <c:pt idx="4">
                  <c:v>278.21511772888061</c:v>
                </c:pt>
                <c:pt idx="5">
                  <c:v>243.48486324697581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F8-4002-9385-6EA28BF64144}"/>
            </c:ext>
          </c:extLst>
        </c:ser>
        <c:ser>
          <c:idx val="1"/>
          <c:order val="3"/>
          <c:tx>
            <c:strRef>
              <c:f>'PODATKI grafi'!$P$194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grafi'!$Q$194:$V$194</c:f>
              <c:numCache>
                <c:formatCode>0.00</c:formatCode>
                <c:ptCount val="6"/>
                <c:pt idx="0">
                  <c:v>235.30469359627506</c:v>
                </c:pt>
                <c:pt idx="1">
                  <c:v>240.79429034085899</c:v>
                </c:pt>
                <c:pt idx="2">
                  <c:v>250.76304735120314</c:v>
                </c:pt>
                <c:pt idx="3">
                  <c:v>262.86361070596433</c:v>
                </c:pt>
                <c:pt idx="4">
                  <c:v>274.13251080352535</c:v>
                </c:pt>
                <c:pt idx="5">
                  <c:v>240.78398644293685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F8-4002-9385-6EA28BF64144}"/>
            </c:ext>
          </c:extLst>
        </c:ser>
        <c:ser>
          <c:idx val="2"/>
          <c:order val="4"/>
          <c:tx>
            <c:strRef>
              <c:f>'PODATKI grafi'!$P$195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grafi'!$Q$195:$V$195</c:f>
              <c:numCache>
                <c:formatCode>0.00</c:formatCode>
                <c:ptCount val="6"/>
                <c:pt idx="0">
                  <c:v>227.76493046308465</c:v>
                </c:pt>
                <c:pt idx="1">
                  <c:v>233.04356011399241</c:v>
                </c:pt>
                <c:pt idx="2">
                  <c:v>242.26535482189735</c:v>
                </c:pt>
                <c:pt idx="3">
                  <c:v>253.45301256352545</c:v>
                </c:pt>
                <c:pt idx="4">
                  <c:v>263.58078064467009</c:v>
                </c:pt>
                <c:pt idx="5">
                  <c:v>233.8034164910427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6F8-4002-9385-6EA28BF64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09248"/>
        <c:axId val="161983872"/>
      </c:lineChart>
      <c:catAx>
        <c:axId val="161908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198329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1983296"/>
        <c:scaling>
          <c:orientation val="minMax"/>
          <c:max val="350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1908736"/>
        <c:crosses val="autoZero"/>
        <c:crossBetween val="midCat"/>
        <c:majorUnit val="50"/>
      </c:valAx>
      <c:catAx>
        <c:axId val="161909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1983872"/>
        <c:crossesAt val="25"/>
        <c:auto val="1"/>
        <c:lblAlgn val="ctr"/>
        <c:lblOffset val="100"/>
        <c:noMultiLvlLbl val="0"/>
      </c:catAx>
      <c:valAx>
        <c:axId val="161983872"/>
        <c:scaling>
          <c:orientation val="minMax"/>
          <c:max val="350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1909248"/>
        <c:crosses val="max"/>
        <c:crossBetween val="midCat"/>
        <c:majorUnit val="50"/>
        <c:minorUnit val="2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943036581146402"/>
          <c:y val="0.5789314190615763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grafi'!$J$186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grafi'!$Q$186:$V$186</c:f>
              <c:numCache>
                <c:formatCode>0</c:formatCode>
                <c:ptCount val="6"/>
                <c:pt idx="0">
                  <c:v>23.94</c:v>
                </c:pt>
                <c:pt idx="1">
                  <c:v>23.94</c:v>
                </c:pt>
                <c:pt idx="2">
                  <c:v>23.94</c:v>
                </c:pt>
                <c:pt idx="3">
                  <c:v>23.94</c:v>
                </c:pt>
                <c:pt idx="4">
                  <c:v>23.94</c:v>
                </c:pt>
                <c:pt idx="5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0-4AD1-9E22-4C11CC5788CA}"/>
            </c:ext>
          </c:extLst>
        </c:ser>
        <c:ser>
          <c:idx val="1"/>
          <c:order val="2"/>
          <c:tx>
            <c:strRef>
              <c:f>'PODATKI grafi'!$J$187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grafi'!$Q$187:$V$187</c:f>
              <c:numCache>
                <c:formatCode>0</c:formatCode>
                <c:ptCount val="6"/>
                <c:pt idx="0">
                  <c:v>1703.9999999999998</c:v>
                </c:pt>
                <c:pt idx="1">
                  <c:v>1561.9999999999998</c:v>
                </c:pt>
                <c:pt idx="2">
                  <c:v>1419.9999999999998</c:v>
                </c:pt>
                <c:pt idx="3">
                  <c:v>1277.9999999999998</c:v>
                </c:pt>
                <c:pt idx="4">
                  <c:v>1136</c:v>
                </c:pt>
                <c:pt idx="5">
                  <c:v>1419.9999999999998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A0-4AD1-9E22-4C11CC578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909760"/>
        <c:axId val="161986176"/>
      </c:barChart>
      <c:lineChart>
        <c:grouping val="standard"/>
        <c:varyColors val="0"/>
        <c:ser>
          <c:idx val="2"/>
          <c:order val="1"/>
          <c:tx>
            <c:strRef>
              <c:f>'PODATKI grafi'!$J$199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grafi'!$Q$199:$V$199</c:f>
              <c:numCache>
                <c:formatCode>#,##0.0</c:formatCode>
                <c:ptCount val="6"/>
                <c:pt idx="0">
                  <c:v>-642.43412665034589</c:v>
                </c:pt>
                <c:pt idx="1">
                  <c:v>-632.86910857489852</c:v>
                </c:pt>
                <c:pt idx="2">
                  <c:v>-636.31811715054596</c:v>
                </c:pt>
                <c:pt idx="3">
                  <c:v>-639.06935654914764</c:v>
                </c:pt>
                <c:pt idx="4">
                  <c:v>-611.45494594774868</c:v>
                </c:pt>
                <c:pt idx="5">
                  <c:v>-605.59379459594879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A0-4AD1-9E22-4C11CC578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09760"/>
        <c:axId val="161986176"/>
      </c:lineChart>
      <c:catAx>
        <c:axId val="16190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161986176"/>
        <c:crosses val="autoZero"/>
        <c:auto val="1"/>
        <c:lblAlgn val="ctr"/>
        <c:lblOffset val="100"/>
        <c:noMultiLvlLbl val="0"/>
      </c:catAx>
      <c:valAx>
        <c:axId val="161986176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1909760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grafi'!$Q$232:$V$232</c:f>
              <c:numCache>
                <c:formatCode>0.00</c:formatCode>
                <c:ptCount val="6"/>
                <c:pt idx="0">
                  <c:v>172.46548277110486</c:v>
                </c:pt>
                <c:pt idx="1">
                  <c:v>204.94905565032585</c:v>
                </c:pt>
                <c:pt idx="2">
                  <c:v>256.77967328673441</c:v>
                </c:pt>
                <c:pt idx="3">
                  <c:v>292.86761943057581</c:v>
                </c:pt>
                <c:pt idx="4">
                  <c:v>266.27269017551441</c:v>
                </c:pt>
                <c:pt idx="5">
                  <c:v>207.86522581123182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7-4073-8921-ECE9F7A5AB1C}"/>
            </c:ext>
          </c:extLst>
        </c:ser>
        <c:ser>
          <c:idx val="4"/>
          <c:order val="1"/>
          <c:tx>
            <c:strRef>
              <c:f>'PODATKI grafi'!$P$233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grafi'!$Q$233:$V$233</c:f>
              <c:numCache>
                <c:formatCode>0.00</c:formatCode>
                <c:ptCount val="6"/>
                <c:pt idx="0">
                  <c:v>41.635614743940806</c:v>
                </c:pt>
                <c:pt idx="1">
                  <c:v>45.321718818828231</c:v>
                </c:pt>
                <c:pt idx="2">
                  <c:v>51.263849230067478</c:v>
                </c:pt>
                <c:pt idx="3">
                  <c:v>55.869234190854172</c:v>
                </c:pt>
                <c:pt idx="4">
                  <c:v>54.626558772974249</c:v>
                </c:pt>
                <c:pt idx="5">
                  <c:v>46.370067347908531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7-4073-8921-ECE9F7A5A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77728"/>
        <c:axId val="162250752"/>
      </c:areaChart>
      <c:lineChart>
        <c:grouping val="standard"/>
        <c:varyColors val="0"/>
        <c:ser>
          <c:idx val="5"/>
          <c:order val="5"/>
          <c:tx>
            <c:strRef>
              <c:f>'PODATKI grafi'!$P$235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grafi'!$Q$235:$V$235</c:f>
              <c:numCache>
                <c:formatCode>0.000</c:formatCode>
                <c:ptCount val="6"/>
                <c:pt idx="0">
                  <c:v>458.99999999999989</c:v>
                </c:pt>
                <c:pt idx="1">
                  <c:v>459</c:v>
                </c:pt>
                <c:pt idx="2">
                  <c:v>458.99999999999994</c:v>
                </c:pt>
                <c:pt idx="3">
                  <c:v>458.99999999999989</c:v>
                </c:pt>
                <c:pt idx="4">
                  <c:v>458.99999999999994</c:v>
                </c:pt>
                <c:pt idx="5">
                  <c:v>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77-4073-8921-ECE9F7A5A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77728"/>
        <c:axId val="162250752"/>
      </c:lineChart>
      <c:lineChart>
        <c:grouping val="standard"/>
        <c:varyColors val="0"/>
        <c:ser>
          <c:idx val="0"/>
          <c:order val="2"/>
          <c:tx>
            <c:strRef>
              <c:f>'PODATKI grafi'!$P$230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grafi'!$Q$230:$V$230</c:f>
              <c:numCache>
                <c:formatCode>0.00</c:formatCode>
                <c:ptCount val="6"/>
                <c:pt idx="0">
                  <c:v>214.10109751504567</c:v>
                </c:pt>
                <c:pt idx="1">
                  <c:v>250.27077446915408</c:v>
                </c:pt>
                <c:pt idx="2">
                  <c:v>308.04352251680189</c:v>
                </c:pt>
                <c:pt idx="3">
                  <c:v>348.73685362142999</c:v>
                </c:pt>
                <c:pt idx="4">
                  <c:v>320.89924894848866</c:v>
                </c:pt>
                <c:pt idx="5">
                  <c:v>254.23529315914035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77-4073-8921-ECE9F7A5AB1C}"/>
            </c:ext>
          </c:extLst>
        </c:ser>
        <c:ser>
          <c:idx val="1"/>
          <c:order val="3"/>
          <c:tx>
            <c:strRef>
              <c:f>'PODATKI grafi'!$P$231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grafi'!$Q$231:$V$231</c:f>
              <c:numCache>
                <c:formatCode>0.00</c:formatCode>
                <c:ptCount val="6"/>
                <c:pt idx="0">
                  <c:v>202.4858225547309</c:v>
                </c:pt>
                <c:pt idx="1">
                  <c:v>237.6271704538832</c:v>
                </c:pt>
                <c:pt idx="2">
                  <c:v>293.7422156190093</c:v>
                </c:pt>
                <c:pt idx="3">
                  <c:v>333.15076173975723</c:v>
                </c:pt>
                <c:pt idx="4">
                  <c:v>305.65983182480539</c:v>
                </c:pt>
                <c:pt idx="5">
                  <c:v>241.29922663324251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77-4073-8921-ECE9F7A5AB1C}"/>
            </c:ext>
          </c:extLst>
        </c:ser>
        <c:ser>
          <c:idx val="2"/>
          <c:order val="4"/>
          <c:tx>
            <c:strRef>
              <c:f>'PODATKI grafi'!$P$232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grafi'!$Q$232:$V$232</c:f>
              <c:numCache>
                <c:formatCode>0.00</c:formatCode>
                <c:ptCount val="6"/>
                <c:pt idx="0">
                  <c:v>172.46548277110486</c:v>
                </c:pt>
                <c:pt idx="1">
                  <c:v>204.94905565032585</c:v>
                </c:pt>
                <c:pt idx="2">
                  <c:v>256.77967328673441</c:v>
                </c:pt>
                <c:pt idx="3">
                  <c:v>292.86761943057581</c:v>
                </c:pt>
                <c:pt idx="4">
                  <c:v>266.27269017551441</c:v>
                </c:pt>
                <c:pt idx="5">
                  <c:v>207.86522581123182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77-4073-8921-ECE9F7A5A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78240"/>
        <c:axId val="162251328"/>
      </c:lineChart>
      <c:catAx>
        <c:axId val="16237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225075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225075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2377728"/>
        <c:crosses val="autoZero"/>
        <c:crossBetween val="midCat"/>
        <c:majorUnit val="50"/>
      </c:valAx>
      <c:catAx>
        <c:axId val="162378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2251328"/>
        <c:crossesAt val="25"/>
        <c:auto val="1"/>
        <c:lblAlgn val="ctr"/>
        <c:lblOffset val="100"/>
        <c:noMultiLvlLbl val="0"/>
      </c:catAx>
      <c:valAx>
        <c:axId val="162251328"/>
        <c:scaling>
          <c:orientation val="minMax"/>
          <c:max val="500"/>
        </c:scaling>
        <c:delete val="0"/>
        <c:axPos val="r"/>
        <c:minorGridlines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62378240"/>
        <c:crosses val="max"/>
        <c:crossBetween val="midCat"/>
        <c:majorUnit val="50"/>
        <c:minorUnit val="2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13" Type="http://schemas.openxmlformats.org/officeDocument/2006/relationships/chart" Target="../charts/chart53.xml"/><Relationship Id="rId18" Type="http://schemas.openxmlformats.org/officeDocument/2006/relationships/chart" Target="../charts/chart5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17" Type="http://schemas.openxmlformats.org/officeDocument/2006/relationships/chart" Target="../charts/chart57.xml"/><Relationship Id="rId2" Type="http://schemas.openxmlformats.org/officeDocument/2006/relationships/chart" Target="../charts/chart42.xml"/><Relationship Id="rId16" Type="http://schemas.openxmlformats.org/officeDocument/2006/relationships/chart" Target="../charts/chart56.xml"/><Relationship Id="rId20" Type="http://schemas.openxmlformats.org/officeDocument/2006/relationships/chart" Target="../charts/chart60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5" Type="http://schemas.openxmlformats.org/officeDocument/2006/relationships/chart" Target="../charts/chart55.xml"/><Relationship Id="rId10" Type="http://schemas.openxmlformats.org/officeDocument/2006/relationships/chart" Target="../charts/chart50.xml"/><Relationship Id="rId19" Type="http://schemas.openxmlformats.org/officeDocument/2006/relationships/chart" Target="../charts/chart59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Relationship Id="rId14" Type="http://schemas.openxmlformats.org/officeDocument/2006/relationships/chart" Target="../charts/chart5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8660</xdr:colOff>
      <xdr:row>4</xdr:row>
      <xdr:rowOff>38099</xdr:rowOff>
    </xdr:from>
    <xdr:to>
      <xdr:col>32</xdr:col>
      <xdr:colOff>33869</xdr:colOff>
      <xdr:row>21</xdr:row>
      <xdr:rowOff>112568</xdr:rowOff>
    </xdr:to>
    <xdr:graphicFrame macro="">
      <xdr:nvGraphicFramePr>
        <xdr:cNvPr id="2" name="Chart 35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14653</xdr:colOff>
      <xdr:row>24</xdr:row>
      <xdr:rowOff>28575</xdr:rowOff>
    </xdr:from>
    <xdr:to>
      <xdr:col>32</xdr:col>
      <xdr:colOff>2212</xdr:colOff>
      <xdr:row>37</xdr:row>
      <xdr:rowOff>114300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1</xdr:colOff>
      <xdr:row>41</xdr:row>
      <xdr:rowOff>190499</xdr:rowOff>
    </xdr:from>
    <xdr:to>
      <xdr:col>31</xdr:col>
      <xdr:colOff>495301</xdr:colOff>
      <xdr:row>59</xdr:row>
      <xdr:rowOff>76199</xdr:rowOff>
    </xdr:to>
    <xdr:graphicFrame macro="">
      <xdr:nvGraphicFramePr>
        <xdr:cNvPr id="4" name="Chart 35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62</xdr:row>
      <xdr:rowOff>9524</xdr:rowOff>
    </xdr:from>
    <xdr:to>
      <xdr:col>32</xdr:col>
      <xdr:colOff>12795</xdr:colOff>
      <xdr:row>75</xdr:row>
      <xdr:rowOff>142874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1</xdr:colOff>
      <xdr:row>80</xdr:row>
      <xdr:rowOff>0</xdr:rowOff>
    </xdr:from>
    <xdr:to>
      <xdr:col>31</xdr:col>
      <xdr:colOff>495301</xdr:colOff>
      <xdr:row>97</xdr:row>
      <xdr:rowOff>133351</xdr:rowOff>
    </xdr:to>
    <xdr:graphicFrame macro="">
      <xdr:nvGraphicFramePr>
        <xdr:cNvPr id="6" name="Chart 35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0</xdr:colOff>
      <xdr:row>100</xdr:row>
      <xdr:rowOff>0</xdr:rowOff>
    </xdr:from>
    <xdr:to>
      <xdr:col>31</xdr:col>
      <xdr:colOff>476250</xdr:colOff>
      <xdr:row>113</xdr:row>
      <xdr:rowOff>123825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1</xdr:colOff>
      <xdr:row>118</xdr:row>
      <xdr:rowOff>0</xdr:rowOff>
    </xdr:from>
    <xdr:to>
      <xdr:col>31</xdr:col>
      <xdr:colOff>495301</xdr:colOff>
      <xdr:row>135</xdr:row>
      <xdr:rowOff>114300</xdr:rowOff>
    </xdr:to>
    <xdr:graphicFrame macro="">
      <xdr:nvGraphicFramePr>
        <xdr:cNvPr id="8" name="Chart 35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138</xdr:row>
      <xdr:rowOff>1</xdr:rowOff>
    </xdr:from>
    <xdr:to>
      <xdr:col>31</xdr:col>
      <xdr:colOff>447675</xdr:colOff>
      <xdr:row>151</xdr:row>
      <xdr:rowOff>114300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19051</xdr:colOff>
      <xdr:row>156</xdr:row>
      <xdr:rowOff>1</xdr:rowOff>
    </xdr:from>
    <xdr:to>
      <xdr:col>32</xdr:col>
      <xdr:colOff>0</xdr:colOff>
      <xdr:row>173</xdr:row>
      <xdr:rowOff>133350</xdr:rowOff>
    </xdr:to>
    <xdr:graphicFrame macro="">
      <xdr:nvGraphicFramePr>
        <xdr:cNvPr id="10" name="Chart 35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0</xdr:colOff>
      <xdr:row>176</xdr:row>
      <xdr:rowOff>0</xdr:rowOff>
    </xdr:from>
    <xdr:to>
      <xdr:col>31</xdr:col>
      <xdr:colOff>495300</xdr:colOff>
      <xdr:row>189</xdr:row>
      <xdr:rowOff>123824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0</xdr:colOff>
      <xdr:row>194</xdr:row>
      <xdr:rowOff>1</xdr:rowOff>
    </xdr:from>
    <xdr:to>
      <xdr:col>31</xdr:col>
      <xdr:colOff>495300</xdr:colOff>
      <xdr:row>211</xdr:row>
      <xdr:rowOff>123826</xdr:rowOff>
    </xdr:to>
    <xdr:graphicFrame macro="">
      <xdr:nvGraphicFramePr>
        <xdr:cNvPr id="12" name="Chart 35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22</xdr:col>
      <xdr:colOff>28574</xdr:colOff>
      <xdr:row>214</xdr:row>
      <xdr:rowOff>0</xdr:rowOff>
    </xdr:from>
    <xdr:to>
      <xdr:col>31</xdr:col>
      <xdr:colOff>504824</xdr:colOff>
      <xdr:row>227</xdr:row>
      <xdr:rowOff>133350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23</xdr:col>
      <xdr:colOff>0</xdr:colOff>
      <xdr:row>232</xdr:row>
      <xdr:rowOff>0</xdr:rowOff>
    </xdr:from>
    <xdr:to>
      <xdr:col>32</xdr:col>
      <xdr:colOff>0</xdr:colOff>
      <xdr:row>249</xdr:row>
      <xdr:rowOff>133350</xdr:rowOff>
    </xdr:to>
    <xdr:graphicFrame macro="">
      <xdr:nvGraphicFramePr>
        <xdr:cNvPr id="14" name="Chart 35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23</xdr:col>
      <xdr:colOff>0</xdr:colOff>
      <xdr:row>252</xdr:row>
      <xdr:rowOff>1</xdr:rowOff>
    </xdr:from>
    <xdr:to>
      <xdr:col>32</xdr:col>
      <xdr:colOff>0</xdr:colOff>
      <xdr:row>265</xdr:row>
      <xdr:rowOff>133350</xdr:rowOff>
    </xdr:to>
    <xdr:graphicFrame macro="">
      <xdr:nvGraphicFramePr>
        <xdr:cNvPr id="15" name="Grafiko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23</xdr:col>
      <xdr:colOff>0</xdr:colOff>
      <xdr:row>270</xdr:row>
      <xdr:rowOff>0</xdr:rowOff>
    </xdr:from>
    <xdr:to>
      <xdr:col>31</xdr:col>
      <xdr:colOff>495300</xdr:colOff>
      <xdr:row>287</xdr:row>
      <xdr:rowOff>133350</xdr:rowOff>
    </xdr:to>
    <xdr:graphicFrame macro="">
      <xdr:nvGraphicFramePr>
        <xdr:cNvPr id="16" name="Chart 35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23</xdr:col>
      <xdr:colOff>0</xdr:colOff>
      <xdr:row>290</xdr:row>
      <xdr:rowOff>0</xdr:rowOff>
    </xdr:from>
    <xdr:to>
      <xdr:col>32</xdr:col>
      <xdr:colOff>0</xdr:colOff>
      <xdr:row>303</xdr:row>
      <xdr:rowOff>133350</xdr:rowOff>
    </xdr:to>
    <xdr:graphicFrame macro="">
      <xdr:nvGraphicFramePr>
        <xdr:cNvPr id="17" name="Grafiko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23</xdr:col>
      <xdr:colOff>9525</xdr:colOff>
      <xdr:row>308</xdr:row>
      <xdr:rowOff>9525</xdr:rowOff>
    </xdr:from>
    <xdr:to>
      <xdr:col>31</xdr:col>
      <xdr:colOff>495300</xdr:colOff>
      <xdr:row>325</xdr:row>
      <xdr:rowOff>114300</xdr:rowOff>
    </xdr:to>
    <xdr:graphicFrame macro="">
      <xdr:nvGraphicFramePr>
        <xdr:cNvPr id="18" name="Chart 35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22</xdr:col>
      <xdr:colOff>28574</xdr:colOff>
      <xdr:row>328</xdr:row>
      <xdr:rowOff>1</xdr:rowOff>
    </xdr:from>
    <xdr:to>
      <xdr:col>31</xdr:col>
      <xdr:colOff>504824</xdr:colOff>
      <xdr:row>341</xdr:row>
      <xdr:rowOff>133350</xdr:rowOff>
    </xdr:to>
    <xdr:graphicFrame macro="">
      <xdr:nvGraphicFramePr>
        <xdr:cNvPr id="19" name="Grafiko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23</xdr:col>
      <xdr:colOff>0</xdr:colOff>
      <xdr:row>345</xdr:row>
      <xdr:rowOff>133349</xdr:rowOff>
    </xdr:from>
    <xdr:to>
      <xdr:col>32</xdr:col>
      <xdr:colOff>0</xdr:colOff>
      <xdr:row>362</xdr:row>
      <xdr:rowOff>123824</xdr:rowOff>
    </xdr:to>
    <xdr:graphicFrame macro="">
      <xdr:nvGraphicFramePr>
        <xdr:cNvPr id="20" name="Chart 35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23</xdr:col>
      <xdr:colOff>0</xdr:colOff>
      <xdr:row>365</xdr:row>
      <xdr:rowOff>42333</xdr:rowOff>
    </xdr:from>
    <xdr:to>
      <xdr:col>32</xdr:col>
      <xdr:colOff>0</xdr:colOff>
      <xdr:row>379</xdr:row>
      <xdr:rowOff>123825</xdr:rowOff>
    </xdr:to>
    <xdr:graphicFrame macro="">
      <xdr:nvGraphicFramePr>
        <xdr:cNvPr id="21" name="Grafiko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8660</xdr:colOff>
      <xdr:row>55</xdr:row>
      <xdr:rowOff>38099</xdr:rowOff>
    </xdr:from>
    <xdr:to>
      <xdr:col>39</xdr:col>
      <xdr:colOff>2</xdr:colOff>
      <xdr:row>72</xdr:row>
      <xdr:rowOff>112568</xdr:rowOff>
    </xdr:to>
    <xdr:graphicFrame macro="">
      <xdr:nvGraphicFramePr>
        <xdr:cNvPr id="2" name="Chart 35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14653</xdr:colOff>
      <xdr:row>75</xdr:row>
      <xdr:rowOff>28575</xdr:rowOff>
    </xdr:from>
    <xdr:to>
      <xdr:col>39</xdr:col>
      <xdr:colOff>2212</xdr:colOff>
      <xdr:row>88</xdr:row>
      <xdr:rowOff>114300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1</xdr:colOff>
      <xdr:row>92</xdr:row>
      <xdr:rowOff>190499</xdr:rowOff>
    </xdr:from>
    <xdr:to>
      <xdr:col>38</xdr:col>
      <xdr:colOff>495301</xdr:colOff>
      <xdr:row>110</xdr:row>
      <xdr:rowOff>76199</xdr:rowOff>
    </xdr:to>
    <xdr:graphicFrame macro="">
      <xdr:nvGraphicFramePr>
        <xdr:cNvPr id="4" name="Chart 35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0</xdr:colOff>
      <xdr:row>113</xdr:row>
      <xdr:rowOff>9524</xdr:rowOff>
    </xdr:from>
    <xdr:to>
      <xdr:col>39</xdr:col>
      <xdr:colOff>12795</xdr:colOff>
      <xdr:row>126</xdr:row>
      <xdr:rowOff>142874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1</xdr:colOff>
      <xdr:row>131</xdr:row>
      <xdr:rowOff>0</xdr:rowOff>
    </xdr:from>
    <xdr:to>
      <xdr:col>38</xdr:col>
      <xdr:colOff>495301</xdr:colOff>
      <xdr:row>148</xdr:row>
      <xdr:rowOff>133351</xdr:rowOff>
    </xdr:to>
    <xdr:graphicFrame macro="">
      <xdr:nvGraphicFramePr>
        <xdr:cNvPr id="6" name="Chart 35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0</xdr:colOff>
      <xdr:row>151</xdr:row>
      <xdr:rowOff>0</xdr:rowOff>
    </xdr:from>
    <xdr:to>
      <xdr:col>38</xdr:col>
      <xdr:colOff>476250</xdr:colOff>
      <xdr:row>164</xdr:row>
      <xdr:rowOff>123825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1</xdr:colOff>
      <xdr:row>169</xdr:row>
      <xdr:rowOff>0</xdr:rowOff>
    </xdr:from>
    <xdr:to>
      <xdr:col>38</xdr:col>
      <xdr:colOff>495301</xdr:colOff>
      <xdr:row>186</xdr:row>
      <xdr:rowOff>114300</xdr:rowOff>
    </xdr:to>
    <xdr:graphicFrame macro="">
      <xdr:nvGraphicFramePr>
        <xdr:cNvPr id="8" name="Chart 35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0</xdr:colOff>
      <xdr:row>189</xdr:row>
      <xdr:rowOff>1</xdr:rowOff>
    </xdr:from>
    <xdr:to>
      <xdr:col>38</xdr:col>
      <xdr:colOff>447675</xdr:colOff>
      <xdr:row>202</xdr:row>
      <xdr:rowOff>114300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29</xdr:col>
      <xdr:colOff>19051</xdr:colOff>
      <xdr:row>207</xdr:row>
      <xdr:rowOff>1</xdr:rowOff>
    </xdr:from>
    <xdr:to>
      <xdr:col>39</xdr:col>
      <xdr:colOff>0</xdr:colOff>
      <xdr:row>224</xdr:row>
      <xdr:rowOff>133350</xdr:rowOff>
    </xdr:to>
    <xdr:graphicFrame macro="">
      <xdr:nvGraphicFramePr>
        <xdr:cNvPr id="10" name="Chart 35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30</xdr:col>
      <xdr:colOff>0</xdr:colOff>
      <xdr:row>227</xdr:row>
      <xdr:rowOff>0</xdr:rowOff>
    </xdr:from>
    <xdr:to>
      <xdr:col>38</xdr:col>
      <xdr:colOff>495300</xdr:colOff>
      <xdr:row>240</xdr:row>
      <xdr:rowOff>123824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30</xdr:col>
      <xdr:colOff>0</xdr:colOff>
      <xdr:row>245</xdr:row>
      <xdr:rowOff>1</xdr:rowOff>
    </xdr:from>
    <xdr:to>
      <xdr:col>38</xdr:col>
      <xdr:colOff>495300</xdr:colOff>
      <xdr:row>262</xdr:row>
      <xdr:rowOff>123826</xdr:rowOff>
    </xdr:to>
    <xdr:graphicFrame macro="">
      <xdr:nvGraphicFramePr>
        <xdr:cNvPr id="12" name="Chart 35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29</xdr:col>
      <xdr:colOff>28574</xdr:colOff>
      <xdr:row>265</xdr:row>
      <xdr:rowOff>0</xdr:rowOff>
    </xdr:from>
    <xdr:to>
      <xdr:col>38</xdr:col>
      <xdr:colOff>504824</xdr:colOff>
      <xdr:row>278</xdr:row>
      <xdr:rowOff>133350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30</xdr:col>
      <xdr:colOff>0</xdr:colOff>
      <xdr:row>283</xdr:row>
      <xdr:rowOff>0</xdr:rowOff>
    </xdr:from>
    <xdr:to>
      <xdr:col>39</xdr:col>
      <xdr:colOff>0</xdr:colOff>
      <xdr:row>300</xdr:row>
      <xdr:rowOff>133350</xdr:rowOff>
    </xdr:to>
    <xdr:graphicFrame macro="">
      <xdr:nvGraphicFramePr>
        <xdr:cNvPr id="14" name="Chart 35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30</xdr:col>
      <xdr:colOff>0</xdr:colOff>
      <xdr:row>303</xdr:row>
      <xdr:rowOff>1</xdr:rowOff>
    </xdr:from>
    <xdr:to>
      <xdr:col>39</xdr:col>
      <xdr:colOff>0</xdr:colOff>
      <xdr:row>316</xdr:row>
      <xdr:rowOff>133350</xdr:rowOff>
    </xdr:to>
    <xdr:graphicFrame macro="">
      <xdr:nvGraphicFramePr>
        <xdr:cNvPr id="15" name="Grafikon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30</xdr:col>
      <xdr:colOff>0</xdr:colOff>
      <xdr:row>321</xdr:row>
      <xdr:rowOff>0</xdr:rowOff>
    </xdr:from>
    <xdr:to>
      <xdr:col>38</xdr:col>
      <xdr:colOff>495300</xdr:colOff>
      <xdr:row>338</xdr:row>
      <xdr:rowOff>133350</xdr:rowOff>
    </xdr:to>
    <xdr:graphicFrame macro="">
      <xdr:nvGraphicFramePr>
        <xdr:cNvPr id="16" name="Chart 35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30</xdr:col>
      <xdr:colOff>0</xdr:colOff>
      <xdr:row>341</xdr:row>
      <xdr:rowOff>0</xdr:rowOff>
    </xdr:from>
    <xdr:to>
      <xdr:col>39</xdr:col>
      <xdr:colOff>0</xdr:colOff>
      <xdr:row>354</xdr:row>
      <xdr:rowOff>133350</xdr:rowOff>
    </xdr:to>
    <xdr:graphicFrame macro="">
      <xdr:nvGraphicFramePr>
        <xdr:cNvPr id="17" name="Grafikon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30</xdr:col>
      <xdr:colOff>9525</xdr:colOff>
      <xdr:row>359</xdr:row>
      <xdr:rowOff>9525</xdr:rowOff>
    </xdr:from>
    <xdr:to>
      <xdr:col>38</xdr:col>
      <xdr:colOff>495300</xdr:colOff>
      <xdr:row>376</xdr:row>
      <xdr:rowOff>114300</xdr:rowOff>
    </xdr:to>
    <xdr:graphicFrame macro="">
      <xdr:nvGraphicFramePr>
        <xdr:cNvPr id="18" name="Chart 35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29</xdr:col>
      <xdr:colOff>28574</xdr:colOff>
      <xdr:row>379</xdr:row>
      <xdr:rowOff>1</xdr:rowOff>
    </xdr:from>
    <xdr:to>
      <xdr:col>38</xdr:col>
      <xdr:colOff>504824</xdr:colOff>
      <xdr:row>392</xdr:row>
      <xdr:rowOff>133350</xdr:rowOff>
    </xdr:to>
    <xdr:graphicFrame macro="">
      <xdr:nvGraphicFramePr>
        <xdr:cNvPr id="19" name="Grafikon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30</xdr:col>
      <xdr:colOff>0</xdr:colOff>
      <xdr:row>396</xdr:row>
      <xdr:rowOff>133349</xdr:rowOff>
    </xdr:from>
    <xdr:to>
      <xdr:col>39</xdr:col>
      <xdr:colOff>0</xdr:colOff>
      <xdr:row>413</xdr:row>
      <xdr:rowOff>123824</xdr:rowOff>
    </xdr:to>
    <xdr:graphicFrame macro="">
      <xdr:nvGraphicFramePr>
        <xdr:cNvPr id="20" name="Chart 35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30</xdr:col>
      <xdr:colOff>0</xdr:colOff>
      <xdr:row>416</xdr:row>
      <xdr:rowOff>1</xdr:rowOff>
    </xdr:from>
    <xdr:to>
      <xdr:col>39</xdr:col>
      <xdr:colOff>0</xdr:colOff>
      <xdr:row>430</xdr:row>
      <xdr:rowOff>123825</xdr:rowOff>
    </xdr:to>
    <xdr:graphicFrame macro="">
      <xdr:nvGraphicFramePr>
        <xdr:cNvPr id="21" name="Grafikon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</xdr:row>
          <xdr:rowOff>0</xdr:rowOff>
        </xdr:from>
        <xdr:to>
          <xdr:col>9</xdr:col>
          <xdr:colOff>0</xdr:colOff>
          <xdr:row>8</xdr:row>
          <xdr:rowOff>0</xdr:rowOff>
        </xdr:to>
        <xdr:sp macro="" textlink="">
          <xdr:nvSpPr>
            <xdr:cNvPr id="16385" name="Butto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1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sl-SI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Obdelaj ekonomske kazalce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8660</xdr:colOff>
      <xdr:row>50</xdr:row>
      <xdr:rowOff>171450</xdr:rowOff>
    </xdr:from>
    <xdr:to>
      <xdr:col>40</xdr:col>
      <xdr:colOff>2</xdr:colOff>
      <xdr:row>68</xdr:row>
      <xdr:rowOff>112569</xdr:rowOff>
    </xdr:to>
    <xdr:graphicFrame macro="">
      <xdr:nvGraphicFramePr>
        <xdr:cNvPr id="29" name="Chart 35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14653</xdr:colOff>
      <xdr:row>71</xdr:row>
      <xdr:rowOff>28575</xdr:rowOff>
    </xdr:from>
    <xdr:to>
      <xdr:col>40</xdr:col>
      <xdr:colOff>2212</xdr:colOff>
      <xdr:row>84</xdr:row>
      <xdr:rowOff>114300</xdr:rowOff>
    </xdr:to>
    <xdr:graphicFrame macro="">
      <xdr:nvGraphicFramePr>
        <xdr:cNvPr id="30" name="Grafikon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63501</xdr:colOff>
      <xdr:row>89</xdr:row>
      <xdr:rowOff>35983</xdr:rowOff>
    </xdr:from>
    <xdr:to>
      <xdr:col>38</xdr:col>
      <xdr:colOff>516468</xdr:colOff>
      <xdr:row>106</xdr:row>
      <xdr:rowOff>107949</xdr:rowOff>
    </xdr:to>
    <xdr:graphicFrame macro="">
      <xdr:nvGraphicFramePr>
        <xdr:cNvPr id="31" name="Chart 352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84667</xdr:colOff>
      <xdr:row>108</xdr:row>
      <xdr:rowOff>147107</xdr:rowOff>
    </xdr:from>
    <xdr:to>
      <xdr:col>39</xdr:col>
      <xdr:colOff>55128</xdr:colOff>
      <xdr:row>122</xdr:row>
      <xdr:rowOff>132290</xdr:rowOff>
    </xdr:to>
    <xdr:graphicFrame macro="">
      <xdr:nvGraphicFramePr>
        <xdr:cNvPr id="32" name="Grafikon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3176</xdr:colOff>
      <xdr:row>126</xdr:row>
      <xdr:rowOff>143932</xdr:rowOff>
    </xdr:from>
    <xdr:to>
      <xdr:col>38</xdr:col>
      <xdr:colOff>456143</xdr:colOff>
      <xdr:row>144</xdr:row>
      <xdr:rowOff>149224</xdr:rowOff>
    </xdr:to>
    <xdr:graphicFrame macro="">
      <xdr:nvGraphicFramePr>
        <xdr:cNvPr id="33" name="Chart 35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3176</xdr:colOff>
      <xdr:row>147</xdr:row>
      <xdr:rowOff>29633</xdr:rowOff>
    </xdr:from>
    <xdr:to>
      <xdr:col>38</xdr:col>
      <xdr:colOff>437093</xdr:colOff>
      <xdr:row>161</xdr:row>
      <xdr:rowOff>5292</xdr:rowOff>
    </xdr:to>
    <xdr:graphicFrame macro="">
      <xdr:nvGraphicFramePr>
        <xdr:cNvPr id="34" name="Grafikon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0</xdr:colOff>
      <xdr:row>165</xdr:row>
      <xdr:rowOff>0</xdr:rowOff>
    </xdr:from>
    <xdr:to>
      <xdr:col>39</xdr:col>
      <xdr:colOff>76200</xdr:colOff>
      <xdr:row>184</xdr:row>
      <xdr:rowOff>33867</xdr:rowOff>
    </xdr:to>
    <xdr:graphicFrame macro="">
      <xdr:nvGraphicFramePr>
        <xdr:cNvPr id="10" name="Chart 35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9525</xdr:colOff>
      <xdr:row>185</xdr:row>
      <xdr:rowOff>66675</xdr:rowOff>
    </xdr:from>
    <xdr:to>
      <xdr:col>38</xdr:col>
      <xdr:colOff>224367</xdr:colOff>
      <xdr:row>200</xdr:row>
      <xdr:rowOff>32809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29</xdr:col>
      <xdr:colOff>57150</xdr:colOff>
      <xdr:row>203</xdr:row>
      <xdr:rowOff>0</xdr:rowOff>
    </xdr:from>
    <xdr:to>
      <xdr:col>39</xdr:col>
      <xdr:colOff>133350</xdr:colOff>
      <xdr:row>221</xdr:row>
      <xdr:rowOff>5292</xdr:rowOff>
    </xdr:to>
    <xdr:graphicFrame macro="">
      <xdr:nvGraphicFramePr>
        <xdr:cNvPr id="12" name="Chart 35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29</xdr:col>
      <xdr:colOff>0</xdr:colOff>
      <xdr:row>222</xdr:row>
      <xdr:rowOff>0</xdr:rowOff>
    </xdr:from>
    <xdr:to>
      <xdr:col>39</xdr:col>
      <xdr:colOff>104775</xdr:colOff>
      <xdr:row>235</xdr:row>
      <xdr:rowOff>99484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30</xdr:col>
      <xdr:colOff>0</xdr:colOff>
      <xdr:row>238</xdr:row>
      <xdr:rowOff>0</xdr:rowOff>
    </xdr:from>
    <xdr:to>
      <xdr:col>39</xdr:col>
      <xdr:colOff>295275</xdr:colOff>
      <xdr:row>256</xdr:row>
      <xdr:rowOff>5292</xdr:rowOff>
    </xdr:to>
    <xdr:graphicFrame macro="">
      <xdr:nvGraphicFramePr>
        <xdr:cNvPr id="14" name="Chart 35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29</xdr:col>
      <xdr:colOff>0</xdr:colOff>
      <xdr:row>257</xdr:row>
      <xdr:rowOff>0</xdr:rowOff>
    </xdr:from>
    <xdr:to>
      <xdr:col>39</xdr:col>
      <xdr:colOff>104775</xdr:colOff>
      <xdr:row>273</xdr:row>
      <xdr:rowOff>28575</xdr:rowOff>
    </xdr:to>
    <xdr:graphicFrame macro="">
      <xdr:nvGraphicFramePr>
        <xdr:cNvPr id="15" name="Grafikon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30</xdr:col>
      <xdr:colOff>0</xdr:colOff>
      <xdr:row>275</xdr:row>
      <xdr:rowOff>0</xdr:rowOff>
    </xdr:from>
    <xdr:to>
      <xdr:col>39</xdr:col>
      <xdr:colOff>295275</xdr:colOff>
      <xdr:row>293</xdr:row>
      <xdr:rowOff>5292</xdr:rowOff>
    </xdr:to>
    <xdr:graphicFrame macro="">
      <xdr:nvGraphicFramePr>
        <xdr:cNvPr id="16" name="Chart 35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30</xdr:col>
      <xdr:colOff>0</xdr:colOff>
      <xdr:row>294</xdr:row>
      <xdr:rowOff>0</xdr:rowOff>
    </xdr:from>
    <xdr:to>
      <xdr:col>39</xdr:col>
      <xdr:colOff>323850</xdr:colOff>
      <xdr:row>309</xdr:row>
      <xdr:rowOff>28575</xdr:rowOff>
    </xdr:to>
    <xdr:graphicFrame macro="">
      <xdr:nvGraphicFramePr>
        <xdr:cNvPr id="17" name="Grafikon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30</xdr:col>
      <xdr:colOff>0</xdr:colOff>
      <xdr:row>310</xdr:row>
      <xdr:rowOff>0</xdr:rowOff>
    </xdr:from>
    <xdr:to>
      <xdr:col>39</xdr:col>
      <xdr:colOff>295275</xdr:colOff>
      <xdr:row>328</xdr:row>
      <xdr:rowOff>5292</xdr:rowOff>
    </xdr:to>
    <xdr:graphicFrame macro="">
      <xdr:nvGraphicFramePr>
        <xdr:cNvPr id="24" name="Chart 35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30</xdr:col>
      <xdr:colOff>0</xdr:colOff>
      <xdr:row>329</xdr:row>
      <xdr:rowOff>0</xdr:rowOff>
    </xdr:from>
    <xdr:to>
      <xdr:col>39</xdr:col>
      <xdr:colOff>323850</xdr:colOff>
      <xdr:row>345</xdr:row>
      <xdr:rowOff>19050</xdr:rowOff>
    </xdr:to>
    <xdr:graphicFrame macro="">
      <xdr:nvGraphicFramePr>
        <xdr:cNvPr id="25" name="Grafikon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30</xdr:col>
      <xdr:colOff>0</xdr:colOff>
      <xdr:row>350</xdr:row>
      <xdr:rowOff>123825</xdr:rowOff>
    </xdr:from>
    <xdr:to>
      <xdr:col>39</xdr:col>
      <xdr:colOff>295275</xdr:colOff>
      <xdr:row>368</xdr:row>
      <xdr:rowOff>129117</xdr:rowOff>
    </xdr:to>
    <xdr:graphicFrame macro="">
      <xdr:nvGraphicFramePr>
        <xdr:cNvPr id="19" name="Chart 35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30</xdr:col>
      <xdr:colOff>0</xdr:colOff>
      <xdr:row>370</xdr:row>
      <xdr:rowOff>0</xdr:rowOff>
    </xdr:from>
    <xdr:to>
      <xdr:col>39</xdr:col>
      <xdr:colOff>323850</xdr:colOff>
      <xdr:row>381</xdr:row>
      <xdr:rowOff>89959</xdr:rowOff>
    </xdr:to>
    <xdr:graphicFrame macro="">
      <xdr:nvGraphicFramePr>
        <xdr:cNvPr id="20" name="Grafikon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30</xdr:col>
      <xdr:colOff>0</xdr:colOff>
      <xdr:row>388</xdr:row>
      <xdr:rowOff>0</xdr:rowOff>
    </xdr:from>
    <xdr:to>
      <xdr:col>39</xdr:col>
      <xdr:colOff>295275</xdr:colOff>
      <xdr:row>406</xdr:row>
      <xdr:rowOff>5292</xdr:rowOff>
    </xdr:to>
    <xdr:graphicFrame macro="">
      <xdr:nvGraphicFramePr>
        <xdr:cNvPr id="21" name="Chart 35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30</xdr:col>
      <xdr:colOff>0</xdr:colOff>
      <xdr:row>408</xdr:row>
      <xdr:rowOff>0</xdr:rowOff>
    </xdr:from>
    <xdr:to>
      <xdr:col>39</xdr:col>
      <xdr:colOff>323850</xdr:colOff>
      <xdr:row>419</xdr:row>
      <xdr:rowOff>89959</xdr:rowOff>
    </xdr:to>
    <xdr:graphicFrame macro="">
      <xdr:nvGraphicFramePr>
        <xdr:cNvPr id="22" name="Grafikon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isar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isarn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isar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isar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isarn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isar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Pisar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isarn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isar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6">
    <tabColor theme="6" tint="0.39997558519241921"/>
    <pageSetUpPr fitToPage="1"/>
  </sheetPr>
  <dimension ref="A1:BQ425"/>
  <sheetViews>
    <sheetView showGridLines="0" tabSelected="1" topLeftCell="A338" zoomScale="106" zoomScaleNormal="106" workbookViewId="0">
      <selection activeCell="V195" sqref="U195:V196"/>
    </sheetView>
  </sheetViews>
  <sheetFormatPr defaultColWidth="0" defaultRowHeight="10.199999999999999" zeroHeight="1" x14ac:dyDescent="0.2"/>
  <cols>
    <col min="1" max="1" width="3" style="136" customWidth="1"/>
    <col min="2" max="2" width="34.6640625" style="1" customWidth="1"/>
    <col min="3" max="4" width="8.33203125" style="1" customWidth="1"/>
    <col min="5" max="6" width="11.44140625" style="1" customWidth="1"/>
    <col min="7" max="7" width="1" style="1" customWidth="1"/>
    <col min="8" max="8" width="10.33203125" style="1" customWidth="1"/>
    <col min="9" max="10" width="9" style="1" customWidth="1"/>
    <col min="11" max="11" width="9.77734375" style="1" customWidth="1"/>
    <col min="12" max="12" width="9" style="1" customWidth="1"/>
    <col min="13" max="13" width="9.44140625" style="1" customWidth="1"/>
    <col min="14" max="14" width="0.77734375" style="1" customWidth="1"/>
    <col min="15" max="15" width="0.6640625" style="1" customWidth="1"/>
    <col min="16" max="21" width="6.44140625" style="1" customWidth="1"/>
    <col min="22" max="22" width="7.109375" style="1" customWidth="1"/>
    <col min="23" max="23" width="0.44140625" style="1" customWidth="1"/>
    <col min="24" max="24" width="14.77734375" style="1" customWidth="1"/>
    <col min="25" max="32" width="8.77734375" style="1" customWidth="1"/>
    <col min="33" max="33" width="2" style="1" customWidth="1"/>
    <col min="34" max="34" width="9.33203125" style="1" hidden="1" customWidth="1"/>
    <col min="35" max="39" width="0" style="1" hidden="1" customWidth="1"/>
    <col min="40" max="69" width="9.33203125" style="1" hidden="1" customWidth="1"/>
    <col min="70" max="16384" width="0" style="1" hidden="1"/>
  </cols>
  <sheetData>
    <row r="1" spans="1:33" hidden="1" x14ac:dyDescent="0.2">
      <c r="D1" s="327">
        <v>2022</v>
      </c>
      <c r="E1" s="327">
        <v>2023</v>
      </c>
    </row>
    <row r="2" spans="1:33" ht="15" customHeight="1" x14ac:dyDescent="0.3">
      <c r="A2" s="134"/>
      <c r="B2" s="338" t="s">
        <v>65</v>
      </c>
      <c r="C2" s="147"/>
      <c r="D2" s="147"/>
      <c r="E2" s="147"/>
      <c r="F2" s="147"/>
      <c r="G2" s="147"/>
      <c r="H2" s="147" t="s">
        <v>100</v>
      </c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  <c r="X2" s="224"/>
      <c r="Y2" s="224"/>
      <c r="Z2" s="224"/>
      <c r="AA2" s="224"/>
      <c r="AB2" s="224"/>
      <c r="AC2" s="224"/>
      <c r="AD2" s="224"/>
      <c r="AE2" s="224"/>
      <c r="AF2" s="224"/>
    </row>
    <row r="3" spans="1:33" ht="15" customHeight="1" x14ac:dyDescent="0.25">
      <c r="A3" s="136" t="s">
        <v>99</v>
      </c>
      <c r="B3" s="144" t="s">
        <v>148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36"/>
    </row>
    <row r="4" spans="1:33" ht="14.25" customHeight="1" x14ac:dyDescent="0.25">
      <c r="A4" s="136" t="s">
        <v>99</v>
      </c>
      <c r="B4" s="144" t="s">
        <v>149</v>
      </c>
      <c r="C4" s="140"/>
      <c r="D4" s="143" t="s">
        <v>114</v>
      </c>
      <c r="E4" s="143" t="s">
        <v>114</v>
      </c>
      <c r="F4" s="143"/>
      <c r="G4" s="143"/>
      <c r="H4" s="143" t="s">
        <v>116</v>
      </c>
      <c r="I4" s="143" t="s">
        <v>117</v>
      </c>
      <c r="J4" s="143" t="s">
        <v>115</v>
      </c>
      <c r="K4" s="143" t="s">
        <v>156</v>
      </c>
      <c r="L4" s="143" t="s">
        <v>157</v>
      </c>
      <c r="M4" s="143" t="s">
        <v>159</v>
      </c>
      <c r="N4" s="143"/>
      <c r="O4" s="139"/>
      <c r="P4" s="139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36"/>
    </row>
    <row r="5" spans="1:33" ht="15" customHeight="1" x14ac:dyDescent="0.25">
      <c r="A5" s="136" t="s">
        <v>99</v>
      </c>
      <c r="B5" s="149" t="s">
        <v>99</v>
      </c>
      <c r="C5" s="158"/>
      <c r="D5" s="185">
        <v>2022</v>
      </c>
      <c r="E5" s="185">
        <v>2023</v>
      </c>
      <c r="F5" s="341" t="s">
        <v>257</v>
      </c>
      <c r="G5" s="186"/>
      <c r="H5" s="179"/>
      <c r="I5" s="179"/>
      <c r="J5" s="179" t="s">
        <v>258</v>
      </c>
      <c r="K5" s="179"/>
      <c r="L5" s="179"/>
      <c r="M5" s="179"/>
      <c r="N5" s="142"/>
      <c r="O5" s="142"/>
      <c r="P5" s="179"/>
      <c r="Q5" s="179"/>
      <c r="R5" s="179" t="s">
        <v>160</v>
      </c>
      <c r="S5" s="179"/>
      <c r="T5" s="179"/>
      <c r="U5" s="179"/>
      <c r="V5" s="66"/>
      <c r="W5" s="66"/>
      <c r="AG5" s="136"/>
    </row>
    <row r="6" spans="1:33" ht="23.25" customHeight="1" x14ac:dyDescent="0.25">
      <c r="A6" s="136" t="s">
        <v>99</v>
      </c>
      <c r="B6" s="150" t="s">
        <v>84</v>
      </c>
      <c r="C6" s="158" t="s">
        <v>63</v>
      </c>
      <c r="D6" s="185"/>
      <c r="E6" s="330" t="s">
        <v>259</v>
      </c>
      <c r="F6" s="342"/>
      <c r="G6" s="186"/>
      <c r="H6" s="187" t="s">
        <v>83</v>
      </c>
      <c r="I6" s="185" t="s">
        <v>82</v>
      </c>
      <c r="J6" s="214" t="s">
        <v>81</v>
      </c>
      <c r="K6" s="185" t="s">
        <v>80</v>
      </c>
      <c r="L6" s="185" t="s">
        <v>79</v>
      </c>
      <c r="M6" s="205" t="s">
        <v>78</v>
      </c>
      <c r="N6" s="191"/>
      <c r="O6" s="191"/>
      <c r="P6" s="188" t="s">
        <v>83</v>
      </c>
      <c r="Q6" s="185" t="s">
        <v>82</v>
      </c>
      <c r="R6" s="214" t="s">
        <v>81</v>
      </c>
      <c r="S6" s="185" t="s">
        <v>80</v>
      </c>
      <c r="T6" s="185" t="s">
        <v>79</v>
      </c>
      <c r="U6" s="188" t="s">
        <v>78</v>
      </c>
      <c r="V6" s="66"/>
      <c r="W6" s="66"/>
      <c r="AG6" s="136"/>
    </row>
    <row r="7" spans="1:33" ht="11.25" customHeight="1" x14ac:dyDescent="0.2">
      <c r="A7" s="136" t="s">
        <v>99</v>
      </c>
      <c r="B7" s="9" t="s">
        <v>21</v>
      </c>
      <c r="C7" s="159" t="s">
        <v>20</v>
      </c>
      <c r="D7" s="160">
        <v>6000</v>
      </c>
      <c r="E7" s="160">
        <v>6000</v>
      </c>
      <c r="F7" s="160"/>
      <c r="G7" s="78"/>
      <c r="H7" s="178">
        <v>7000</v>
      </c>
      <c r="I7" s="178">
        <v>6500</v>
      </c>
      <c r="J7" s="178">
        <v>6000</v>
      </c>
      <c r="K7" s="178">
        <v>5500</v>
      </c>
      <c r="L7" s="178">
        <v>5000</v>
      </c>
      <c r="M7" s="178">
        <v>6000</v>
      </c>
      <c r="N7" s="2"/>
      <c r="O7" s="2"/>
      <c r="P7" s="62">
        <v>116.66666666666667</v>
      </c>
      <c r="Q7" s="180">
        <v>108.33333333333333</v>
      </c>
      <c r="R7" s="180">
        <v>100</v>
      </c>
      <c r="S7" s="180">
        <v>91.666666666666657</v>
      </c>
      <c r="T7" s="180">
        <v>83.333333333333343</v>
      </c>
      <c r="U7" s="62">
        <v>100</v>
      </c>
      <c r="V7" s="82"/>
      <c r="W7" s="82"/>
      <c r="AG7" s="136"/>
    </row>
    <row r="8" spans="1:33" ht="6" customHeight="1" x14ac:dyDescent="0.2">
      <c r="A8" s="136" t="s">
        <v>99</v>
      </c>
      <c r="B8" s="9"/>
      <c r="C8" s="159"/>
      <c r="D8" s="161"/>
      <c r="E8" s="161"/>
      <c r="F8" s="160"/>
      <c r="G8" s="78"/>
      <c r="H8" s="161"/>
      <c r="I8" s="161"/>
      <c r="J8" s="161"/>
      <c r="K8" s="161"/>
      <c r="L8" s="161"/>
      <c r="M8" s="161"/>
      <c r="P8" s="82"/>
      <c r="Q8" s="181"/>
      <c r="R8" s="181"/>
      <c r="S8" s="181"/>
      <c r="T8" s="181"/>
      <c r="U8" s="82"/>
      <c r="V8" s="82"/>
      <c r="W8" s="82"/>
      <c r="AG8" s="136"/>
    </row>
    <row r="9" spans="1:33" ht="6" customHeight="1" x14ac:dyDescent="0.2">
      <c r="A9" s="136" t="s">
        <v>99</v>
      </c>
      <c r="B9" s="9"/>
      <c r="C9" s="162"/>
      <c r="D9" s="161"/>
      <c r="E9" s="161"/>
      <c r="F9" s="161"/>
      <c r="G9" s="137"/>
      <c r="H9" s="161"/>
      <c r="I9" s="161"/>
      <c r="J9" s="161"/>
      <c r="K9" s="161"/>
      <c r="L9" s="161"/>
      <c r="M9" s="161"/>
      <c r="P9" s="84"/>
      <c r="Q9" s="182"/>
      <c r="R9" s="182"/>
      <c r="S9" s="182"/>
      <c r="T9" s="182"/>
      <c r="U9" s="84"/>
      <c r="V9" s="82"/>
      <c r="W9" s="82"/>
      <c r="AG9" s="136"/>
    </row>
    <row r="10" spans="1:33" ht="11.25" customHeight="1" x14ac:dyDescent="0.2">
      <c r="A10" s="136" t="s">
        <v>99</v>
      </c>
      <c r="B10" s="9" t="s">
        <v>90</v>
      </c>
      <c r="C10" s="159" t="s">
        <v>89</v>
      </c>
      <c r="D10" s="163">
        <v>1</v>
      </c>
      <c r="E10" s="163">
        <v>1</v>
      </c>
      <c r="F10" s="164">
        <v>100</v>
      </c>
      <c r="G10" s="8"/>
      <c r="H10" s="163">
        <v>1</v>
      </c>
      <c r="I10" s="163">
        <v>1</v>
      </c>
      <c r="J10" s="163">
        <v>1</v>
      </c>
      <c r="K10" s="163">
        <v>1</v>
      </c>
      <c r="L10" s="163">
        <v>1</v>
      </c>
      <c r="M10" s="163">
        <v>5</v>
      </c>
      <c r="N10" s="9"/>
      <c r="O10" s="9"/>
      <c r="P10" s="84">
        <v>100</v>
      </c>
      <c r="Q10" s="182">
        <v>100</v>
      </c>
      <c r="R10" s="182">
        <v>100</v>
      </c>
      <c r="S10" s="182">
        <v>100</v>
      </c>
      <c r="T10" s="182">
        <v>100</v>
      </c>
      <c r="U10" s="84">
        <v>500</v>
      </c>
      <c r="V10" s="26"/>
      <c r="W10" s="26"/>
      <c r="AG10" s="136"/>
    </row>
    <row r="11" spans="1:33" ht="11.25" customHeight="1" x14ac:dyDescent="0.2">
      <c r="A11" s="136" t="s">
        <v>99</v>
      </c>
      <c r="B11" s="151" t="s">
        <v>62</v>
      </c>
      <c r="C11" s="165"/>
      <c r="D11" s="166"/>
      <c r="E11" s="166"/>
      <c r="F11" s="167"/>
      <c r="H11" s="166"/>
      <c r="I11" s="166"/>
      <c r="J11" s="166"/>
      <c r="K11" s="166"/>
      <c r="L11" s="166"/>
      <c r="M11" s="166"/>
      <c r="P11" s="154"/>
      <c r="Q11" s="166"/>
      <c r="R11" s="166"/>
      <c r="S11" s="166"/>
      <c r="T11" s="166"/>
      <c r="U11" s="154"/>
      <c r="V11" s="76"/>
      <c r="W11" s="76"/>
      <c r="AG11" s="136"/>
    </row>
    <row r="12" spans="1:33" s="9" customFormat="1" ht="11.25" customHeight="1" x14ac:dyDescent="0.2">
      <c r="A12" s="136" t="s">
        <v>99</v>
      </c>
      <c r="B12" s="151" t="s">
        <v>61</v>
      </c>
      <c r="C12" s="168" t="s">
        <v>35</v>
      </c>
      <c r="D12" s="169">
        <v>1851.6516592046974</v>
      </c>
      <c r="E12" s="169">
        <v>1875.9132092305122</v>
      </c>
      <c r="F12" s="170">
        <v>101.31026534635761</v>
      </c>
      <c r="G12" s="8"/>
      <c r="H12" s="169">
        <v>2105.7123321408249</v>
      </c>
      <c r="I12" s="169">
        <v>2004.2313591982572</v>
      </c>
      <c r="J12" s="169">
        <v>1875.9132092305122</v>
      </c>
      <c r="K12" s="169">
        <v>1787.8723237665242</v>
      </c>
      <c r="L12" s="169">
        <v>1695.4608881795518</v>
      </c>
      <c r="M12" s="169">
        <v>1818.7187893939627</v>
      </c>
      <c r="N12" s="1"/>
      <c r="P12" s="155">
        <v>112.24998692794401</v>
      </c>
      <c r="Q12" s="169">
        <v>106.84030313003554</v>
      </c>
      <c r="R12" s="169">
        <v>100</v>
      </c>
      <c r="S12" s="169">
        <v>95.306771921495141</v>
      </c>
      <c r="T12" s="169">
        <v>90.38056130939124</v>
      </c>
      <c r="U12" s="155">
        <v>96.951115885579256</v>
      </c>
      <c r="V12" s="8"/>
      <c r="W12" s="8"/>
      <c r="AG12" s="136"/>
    </row>
    <row r="13" spans="1:33" ht="11.25" customHeight="1" x14ac:dyDescent="0.2">
      <c r="A13" s="136" t="s">
        <v>99</v>
      </c>
      <c r="B13" s="152" t="s">
        <v>60</v>
      </c>
      <c r="C13" s="165" t="s">
        <v>35</v>
      </c>
      <c r="D13" s="171">
        <v>122.6</v>
      </c>
      <c r="E13" s="171">
        <v>174.64108940431714</v>
      </c>
      <c r="F13" s="172">
        <v>142.44787063973666</v>
      </c>
      <c r="G13" s="8"/>
      <c r="H13" s="171">
        <v>174.64108940431714</v>
      </c>
      <c r="I13" s="171">
        <v>174.64108940431714</v>
      </c>
      <c r="J13" s="171">
        <v>174.64108940431714</v>
      </c>
      <c r="K13" s="171">
        <v>174.64108940431714</v>
      </c>
      <c r="L13" s="171">
        <v>174.64108940431714</v>
      </c>
      <c r="M13" s="171">
        <v>174.64108940431714</v>
      </c>
      <c r="P13" s="156">
        <v>100</v>
      </c>
      <c r="Q13" s="171">
        <v>100</v>
      </c>
      <c r="R13" s="171">
        <v>100</v>
      </c>
      <c r="S13" s="171">
        <v>100</v>
      </c>
      <c r="T13" s="171">
        <v>100</v>
      </c>
      <c r="U13" s="156">
        <v>100</v>
      </c>
      <c r="V13" s="4"/>
      <c r="W13" s="4"/>
      <c r="AG13" s="136"/>
    </row>
    <row r="14" spans="1:33" ht="11.25" customHeight="1" x14ac:dyDescent="0.2">
      <c r="A14" s="136" t="s">
        <v>99</v>
      </c>
      <c r="B14" s="152" t="s">
        <v>59</v>
      </c>
      <c r="C14" s="165" t="s">
        <v>35</v>
      </c>
      <c r="D14" s="171">
        <v>635.41296431440344</v>
      </c>
      <c r="E14" s="171">
        <v>619.75494198574279</v>
      </c>
      <c r="F14" s="172">
        <v>97.535772291716569</v>
      </c>
      <c r="G14" s="8"/>
      <c r="H14" s="171">
        <v>722.09680379440715</v>
      </c>
      <c r="I14" s="171">
        <v>670.92587289007497</v>
      </c>
      <c r="J14" s="171">
        <v>619.75494198574279</v>
      </c>
      <c r="K14" s="171">
        <v>568.58401108141027</v>
      </c>
      <c r="L14" s="171">
        <v>517.41308017707809</v>
      </c>
      <c r="M14" s="171">
        <v>619.75494198574279</v>
      </c>
      <c r="P14" s="156">
        <v>116.51327885837475</v>
      </c>
      <c r="Q14" s="171">
        <v>108.25663942918737</v>
      </c>
      <c r="R14" s="171">
        <v>100</v>
      </c>
      <c r="S14" s="171">
        <v>91.74336057081257</v>
      </c>
      <c r="T14" s="171">
        <v>83.486721141625196</v>
      </c>
      <c r="U14" s="156">
        <v>100</v>
      </c>
      <c r="V14" s="4"/>
      <c r="W14" s="4"/>
      <c r="AG14" s="136"/>
    </row>
    <row r="15" spans="1:33" ht="11.25" customHeight="1" x14ac:dyDescent="0.2">
      <c r="A15" s="136" t="s">
        <v>99</v>
      </c>
      <c r="B15" s="152" t="s">
        <v>58</v>
      </c>
      <c r="C15" s="165" t="s">
        <v>35</v>
      </c>
      <c r="D15" s="171">
        <v>157.44108</v>
      </c>
      <c r="E15" s="171">
        <v>175.59197999999998</v>
      </c>
      <c r="F15" s="172">
        <v>111.52869378182618</v>
      </c>
      <c r="G15" s="8"/>
      <c r="H15" s="171">
        <v>223.82981999999998</v>
      </c>
      <c r="I15" s="171">
        <v>205.02305999999999</v>
      </c>
      <c r="J15" s="171">
        <v>175.59197999999998</v>
      </c>
      <c r="K15" s="171">
        <v>175.59197999999998</v>
      </c>
      <c r="L15" s="171">
        <v>175.59197999999998</v>
      </c>
      <c r="M15" s="171">
        <v>175.59197999999998</v>
      </c>
      <c r="P15" s="156">
        <v>127.47155080773052</v>
      </c>
      <c r="Q15" s="171">
        <v>116.76106163846435</v>
      </c>
      <c r="R15" s="171">
        <v>100</v>
      </c>
      <c r="S15" s="171">
        <v>100</v>
      </c>
      <c r="T15" s="171">
        <v>100</v>
      </c>
      <c r="U15" s="156">
        <v>100</v>
      </c>
      <c r="V15" s="4"/>
      <c r="W15" s="4"/>
      <c r="AG15" s="136"/>
    </row>
    <row r="16" spans="1:33" ht="11.25" customHeight="1" x14ac:dyDescent="0.2">
      <c r="A16" s="136" t="s">
        <v>99</v>
      </c>
      <c r="B16" s="152" t="s">
        <v>57</v>
      </c>
      <c r="C16" s="165" t="s">
        <v>35</v>
      </c>
      <c r="D16" s="171">
        <v>520.47330404239096</v>
      </c>
      <c r="E16" s="171">
        <v>510.10418469752318</v>
      </c>
      <c r="F16" s="172">
        <v>98.00775193187944</v>
      </c>
      <c r="G16" s="8"/>
      <c r="H16" s="171">
        <v>557.68025571032877</v>
      </c>
      <c r="I16" s="171">
        <v>533.89222020392594</v>
      </c>
      <c r="J16" s="171">
        <v>510.10418469752318</v>
      </c>
      <c r="K16" s="171">
        <v>486.31614919112036</v>
      </c>
      <c r="L16" s="171">
        <v>462.5281136847176</v>
      </c>
      <c r="M16" s="171">
        <v>510.10418469752318</v>
      </c>
      <c r="P16" s="156">
        <v>109.32673607471321</v>
      </c>
      <c r="Q16" s="171">
        <v>104.66336803735661</v>
      </c>
      <c r="R16" s="171">
        <v>100</v>
      </c>
      <c r="S16" s="171">
        <v>95.336631962643395</v>
      </c>
      <c r="T16" s="171">
        <v>90.67326392528679</v>
      </c>
      <c r="U16" s="156">
        <v>100</v>
      </c>
      <c r="V16" s="4"/>
      <c r="W16" s="4"/>
      <c r="AG16" s="136"/>
    </row>
    <row r="17" spans="1:33" ht="11.25" customHeight="1" x14ac:dyDescent="0.2">
      <c r="A17" s="136" t="s">
        <v>99</v>
      </c>
      <c r="B17" s="152" t="s">
        <v>56</v>
      </c>
      <c r="C17" s="165" t="s">
        <v>35</v>
      </c>
      <c r="D17" s="171">
        <v>20.169</v>
      </c>
      <c r="E17" s="171">
        <v>20.169</v>
      </c>
      <c r="F17" s="172">
        <v>100</v>
      </c>
      <c r="G17" s="8"/>
      <c r="H17" s="171">
        <v>23.5305</v>
      </c>
      <c r="I17" s="171">
        <v>21.84975</v>
      </c>
      <c r="J17" s="171">
        <v>20.169</v>
      </c>
      <c r="K17" s="171">
        <v>18.488250000000001</v>
      </c>
      <c r="L17" s="171">
        <v>16.807500000000001</v>
      </c>
      <c r="M17" s="171">
        <v>20.169</v>
      </c>
      <c r="P17" s="156">
        <v>116.66666666666667</v>
      </c>
      <c r="Q17" s="171">
        <v>108.33333333333333</v>
      </c>
      <c r="R17" s="171">
        <v>100</v>
      </c>
      <c r="S17" s="171">
        <v>91.666666666666657</v>
      </c>
      <c r="T17" s="171">
        <v>83.333333333333343</v>
      </c>
      <c r="U17" s="156">
        <v>100</v>
      </c>
      <c r="V17" s="4"/>
      <c r="W17" s="4"/>
      <c r="AG17" s="136"/>
    </row>
    <row r="18" spans="1:33" ht="11.25" customHeight="1" x14ac:dyDescent="0.2">
      <c r="A18" s="136" t="s">
        <v>99</v>
      </c>
      <c r="B18" s="152" t="s">
        <v>55</v>
      </c>
      <c r="C18" s="165" t="s">
        <v>35</v>
      </c>
      <c r="D18" s="171">
        <v>357.70407189642486</v>
      </c>
      <c r="E18" s="171">
        <v>342.16253111439545</v>
      </c>
      <c r="F18" s="172">
        <v>95.655196011710615</v>
      </c>
      <c r="G18" s="8"/>
      <c r="H18" s="171">
        <v>365.5664157225284</v>
      </c>
      <c r="I18" s="171">
        <v>361.73222437963108</v>
      </c>
      <c r="J18" s="171">
        <v>342.16253111439545</v>
      </c>
      <c r="K18" s="171">
        <v>332.88081947082685</v>
      </c>
      <c r="L18" s="171">
        <v>319.38863520765108</v>
      </c>
      <c r="M18" s="171">
        <v>286.02308506652281</v>
      </c>
      <c r="P18" s="156">
        <v>106.83999049571804</v>
      </c>
      <c r="Q18" s="171">
        <v>105.71941445531712</v>
      </c>
      <c r="R18" s="171">
        <v>100</v>
      </c>
      <c r="S18" s="171">
        <v>97.287338384673845</v>
      </c>
      <c r="T18" s="171">
        <v>93.344129226373312</v>
      </c>
      <c r="U18" s="156">
        <v>83.592754628909532</v>
      </c>
      <c r="V18" s="4"/>
      <c r="W18" s="4"/>
      <c r="AG18" s="136"/>
    </row>
    <row r="19" spans="1:33" ht="11.25" customHeight="1" x14ac:dyDescent="0.2">
      <c r="A19" s="136" t="s">
        <v>99</v>
      </c>
      <c r="B19" s="152" t="s">
        <v>26</v>
      </c>
      <c r="C19" s="165" t="s">
        <v>35</v>
      </c>
      <c r="D19" s="171">
        <v>0</v>
      </c>
      <c r="E19" s="171">
        <v>0</v>
      </c>
      <c r="F19" s="172"/>
      <c r="G19" s="8"/>
      <c r="H19" s="171">
        <v>0</v>
      </c>
      <c r="I19" s="171">
        <v>0</v>
      </c>
      <c r="J19" s="171">
        <v>0</v>
      </c>
      <c r="K19" s="171">
        <v>0</v>
      </c>
      <c r="L19" s="171">
        <v>0</v>
      </c>
      <c r="M19" s="171">
        <v>0</v>
      </c>
      <c r="P19" s="156"/>
      <c r="Q19" s="171"/>
      <c r="R19" s="171"/>
      <c r="S19" s="171"/>
      <c r="T19" s="171"/>
      <c r="U19" s="156"/>
      <c r="V19" s="4"/>
      <c r="W19" s="4"/>
      <c r="AG19" s="136"/>
    </row>
    <row r="20" spans="1:33" s="9" customFormat="1" ht="11.25" customHeight="1" x14ac:dyDescent="0.2">
      <c r="A20" s="136" t="s">
        <v>99</v>
      </c>
      <c r="B20" s="151" t="s">
        <v>54</v>
      </c>
      <c r="C20" s="168" t="s">
        <v>35</v>
      </c>
      <c r="D20" s="169">
        <v>332.56763897085887</v>
      </c>
      <c r="E20" s="169">
        <v>356.90817142548946</v>
      </c>
      <c r="F20" s="170">
        <v>107.3189720232411</v>
      </c>
      <c r="G20" s="8"/>
      <c r="H20" s="169">
        <v>388.57752164564357</v>
      </c>
      <c r="I20" s="169">
        <v>378.42375517345795</v>
      </c>
      <c r="J20" s="169">
        <v>356.90817142548946</v>
      </c>
      <c r="K20" s="169">
        <v>343.5069196176907</v>
      </c>
      <c r="L20" s="169">
        <v>325.90364949517772</v>
      </c>
      <c r="M20" s="169">
        <v>322.83364116520448</v>
      </c>
      <c r="N20" s="1"/>
      <c r="P20" s="155">
        <v>108.87324885100469</v>
      </c>
      <c r="Q20" s="169">
        <v>106.02832478226412</v>
      </c>
      <c r="R20" s="169">
        <v>100</v>
      </c>
      <c r="S20" s="169">
        <v>96.245182127863799</v>
      </c>
      <c r="T20" s="169">
        <v>91.313025474737714</v>
      </c>
      <c r="U20" s="155">
        <v>90.452857909026989</v>
      </c>
      <c r="V20" s="8"/>
      <c r="W20" s="8"/>
      <c r="AG20" s="136"/>
    </row>
    <row r="21" spans="1:33" ht="11.25" customHeight="1" x14ac:dyDescent="0.2">
      <c r="A21" s="136" t="s">
        <v>99</v>
      </c>
      <c r="B21" s="152" t="s">
        <v>53</v>
      </c>
      <c r="C21" s="165" t="s">
        <v>35</v>
      </c>
      <c r="D21" s="171">
        <v>140.03369267426862</v>
      </c>
      <c r="E21" s="171">
        <v>153.46530513061867</v>
      </c>
      <c r="F21" s="172">
        <v>109.59170053995022</v>
      </c>
      <c r="G21" s="8"/>
      <c r="H21" s="171">
        <v>170.00696547226116</v>
      </c>
      <c r="I21" s="171">
        <v>164.61078195997572</v>
      </c>
      <c r="J21" s="171">
        <v>153.46530513061867</v>
      </c>
      <c r="K21" s="171">
        <v>146.40806414706884</v>
      </c>
      <c r="L21" s="171">
        <v>136.87089052503404</v>
      </c>
      <c r="M21" s="171">
        <v>137.12157240059821</v>
      </c>
      <c r="P21" s="156">
        <v>110.77876222743859</v>
      </c>
      <c r="Q21" s="171">
        <v>107.26253847400284</v>
      </c>
      <c r="R21" s="171">
        <v>100</v>
      </c>
      <c r="S21" s="171">
        <v>95.401409473272665</v>
      </c>
      <c r="T21" s="171">
        <v>89.186862404202273</v>
      </c>
      <c r="U21" s="156">
        <v>89.350209992994934</v>
      </c>
      <c r="V21" s="4"/>
      <c r="W21" s="4"/>
      <c r="AA21" s="26"/>
      <c r="AB21" s="26"/>
      <c r="AC21" s="26"/>
      <c r="AD21" s="26"/>
      <c r="AG21" s="136"/>
    </row>
    <row r="22" spans="1:33" s="9" customFormat="1" ht="11.25" customHeight="1" x14ac:dyDescent="0.2">
      <c r="A22" s="136" t="s">
        <v>99</v>
      </c>
      <c r="B22" s="151" t="s">
        <v>52</v>
      </c>
      <c r="C22" s="168" t="s">
        <v>35</v>
      </c>
      <c r="D22" s="169">
        <v>2184.2192981755561</v>
      </c>
      <c r="E22" s="169">
        <v>2232.8213806560016</v>
      </c>
      <c r="F22" s="170">
        <v>102.22514664718155</v>
      </c>
      <c r="G22" s="8"/>
      <c r="H22" s="169">
        <v>2494.2898537864685</v>
      </c>
      <c r="I22" s="169">
        <v>2382.6551143717152</v>
      </c>
      <c r="J22" s="169">
        <v>2232.8213806560016</v>
      </c>
      <c r="K22" s="169">
        <v>2131.379243384215</v>
      </c>
      <c r="L22" s="169">
        <v>2021.3645376747295</v>
      </c>
      <c r="M22" s="169">
        <v>2141.5524305591671</v>
      </c>
      <c r="N22" s="1"/>
      <c r="P22" s="155">
        <v>111.71022793832472</v>
      </c>
      <c r="Q22" s="169">
        <v>106.71051141904118</v>
      </c>
      <c r="R22" s="169">
        <v>100</v>
      </c>
      <c r="S22" s="169">
        <v>95.456773293617289</v>
      </c>
      <c r="T22" s="169">
        <v>90.529612229028984</v>
      </c>
      <c r="U22" s="155">
        <v>95.9123935802684</v>
      </c>
      <c r="V22" s="8"/>
      <c r="W22" s="8"/>
      <c r="AG22" s="136"/>
    </row>
    <row r="23" spans="1:33" ht="12" customHeight="1" x14ac:dyDescent="0.25">
      <c r="A23" s="136" t="s">
        <v>99</v>
      </c>
      <c r="B23" s="152" t="s">
        <v>5</v>
      </c>
      <c r="C23" s="165" t="s">
        <v>35</v>
      </c>
      <c r="D23" s="171">
        <v>318.00960381144523</v>
      </c>
      <c r="E23" s="171">
        <v>328.04166673274983</v>
      </c>
      <c r="F23" s="172">
        <v>103.1546414954351</v>
      </c>
      <c r="G23" s="8"/>
      <c r="H23" s="171">
        <v>378.44987871864367</v>
      </c>
      <c r="I23" s="171">
        <v>353.24577272569672</v>
      </c>
      <c r="J23" s="171">
        <v>328.04166673274983</v>
      </c>
      <c r="K23" s="171">
        <v>294.30676246734066</v>
      </c>
      <c r="L23" s="171">
        <v>269.10265647439371</v>
      </c>
      <c r="M23" s="171">
        <v>328.04166673274983</v>
      </c>
      <c r="P23" s="156">
        <v>115.36640527648598</v>
      </c>
      <c r="Q23" s="171">
        <v>107.68320263824297</v>
      </c>
      <c r="R23" s="171">
        <v>100</v>
      </c>
      <c r="S23" s="171">
        <v>89.716274581395652</v>
      </c>
      <c r="T23" s="171">
        <v>82.033071943152649</v>
      </c>
      <c r="U23" s="156">
        <v>100</v>
      </c>
      <c r="V23" s="4"/>
      <c r="W23" s="4"/>
      <c r="X23" s="339" t="s">
        <v>170</v>
      </c>
      <c r="Y23" s="340"/>
      <c r="Z23" s="340"/>
      <c r="AA23" s="340"/>
      <c r="AB23" s="340"/>
      <c r="AC23" s="340"/>
      <c r="AD23" s="340"/>
      <c r="AE23" s="340"/>
      <c r="AF23" s="340"/>
      <c r="AG23" s="136"/>
    </row>
    <row r="24" spans="1:33" ht="12.6" customHeight="1" x14ac:dyDescent="0.25">
      <c r="A24" s="136" t="s">
        <v>99</v>
      </c>
      <c r="B24" s="152" t="s">
        <v>51</v>
      </c>
      <c r="C24" s="165" t="s">
        <v>35</v>
      </c>
      <c r="D24" s="171">
        <v>1866.2096943641109</v>
      </c>
      <c r="E24" s="171">
        <v>1904.7797139232516</v>
      </c>
      <c r="F24" s="172">
        <v>102.06675700354685</v>
      </c>
      <c r="G24" s="8"/>
      <c r="H24" s="171">
        <v>2115.839975067825</v>
      </c>
      <c r="I24" s="171">
        <v>2029.4093416460184</v>
      </c>
      <c r="J24" s="171">
        <v>1904.7797139232516</v>
      </c>
      <c r="K24" s="171">
        <v>1837.0724809168744</v>
      </c>
      <c r="L24" s="171">
        <v>1752.2618812003357</v>
      </c>
      <c r="M24" s="171">
        <v>1813.5107638264171</v>
      </c>
      <c r="P24" s="156">
        <v>111.08056010896163</v>
      </c>
      <c r="Q24" s="171">
        <v>106.54299427969383</v>
      </c>
      <c r="R24" s="171">
        <v>100</v>
      </c>
      <c r="S24" s="171">
        <v>96.445403501966041</v>
      </c>
      <c r="T24" s="171">
        <v>91.992888647014368</v>
      </c>
      <c r="U24" s="156">
        <v>95.20842492023138</v>
      </c>
      <c r="V24" s="4"/>
      <c r="W24" s="4"/>
      <c r="X24" s="192" t="s">
        <v>260</v>
      </c>
      <c r="AG24" s="136"/>
    </row>
    <row r="25" spans="1:33" ht="11.25" customHeight="1" x14ac:dyDescent="0.2">
      <c r="A25" s="136" t="s">
        <v>99</v>
      </c>
      <c r="B25" s="152" t="s">
        <v>50</v>
      </c>
      <c r="C25" s="165" t="s">
        <v>35</v>
      </c>
      <c r="D25" s="171">
        <v>382.87852648317482</v>
      </c>
      <c r="E25" s="171">
        <v>202.77999999999994</v>
      </c>
      <c r="F25" s="172">
        <v>52.961967301373555</v>
      </c>
      <c r="G25" s="8"/>
      <c r="H25" s="171">
        <v>202.77999999999994</v>
      </c>
      <c r="I25" s="171">
        <v>202.77999999999994</v>
      </c>
      <c r="J25" s="171">
        <v>202.77999999999994</v>
      </c>
      <c r="K25" s="171">
        <v>202.77999999999994</v>
      </c>
      <c r="L25" s="171">
        <v>202.77999999999994</v>
      </c>
      <c r="M25" s="171">
        <v>202.77999999999994</v>
      </c>
      <c r="P25" s="156">
        <v>100</v>
      </c>
      <c r="Q25" s="171">
        <v>100</v>
      </c>
      <c r="R25" s="171">
        <v>100</v>
      </c>
      <c r="S25" s="171">
        <v>100</v>
      </c>
      <c r="T25" s="171">
        <v>100</v>
      </c>
      <c r="U25" s="156">
        <v>100</v>
      </c>
      <c r="V25" s="4"/>
      <c r="W25" s="4"/>
      <c r="Y25" s="72"/>
      <c r="Z25" s="72"/>
      <c r="AA25" s="72"/>
      <c r="AB25" s="72"/>
      <c r="AC25" s="72"/>
      <c r="AD25" s="72"/>
      <c r="AE25" s="72"/>
      <c r="AF25" s="72"/>
      <c r="AG25" s="136"/>
    </row>
    <row r="26" spans="1:33" ht="11.25" customHeight="1" x14ac:dyDescent="0.2">
      <c r="A26" s="136" t="s">
        <v>99</v>
      </c>
      <c r="B26" s="151" t="s">
        <v>49</v>
      </c>
      <c r="C26" s="168" t="s">
        <v>35</v>
      </c>
      <c r="D26" s="169">
        <v>1483.3311678809359</v>
      </c>
      <c r="E26" s="169">
        <v>1701.9997139232516</v>
      </c>
      <c r="F26" s="170">
        <v>114.7417212539734</v>
      </c>
      <c r="G26" s="8"/>
      <c r="H26" s="169">
        <v>1913.059975067825</v>
      </c>
      <c r="I26" s="169">
        <v>1826.6293416460185</v>
      </c>
      <c r="J26" s="169">
        <v>1701.9997139232516</v>
      </c>
      <c r="K26" s="169">
        <v>1634.2924809168744</v>
      </c>
      <c r="L26" s="169">
        <v>1549.4818812003357</v>
      </c>
      <c r="M26" s="169">
        <v>1610.7307638264172</v>
      </c>
      <c r="N26" s="9"/>
      <c r="O26" s="9"/>
      <c r="P26" s="155">
        <v>112.40072248062027</v>
      </c>
      <c r="Q26" s="169">
        <v>107.32254104999144</v>
      </c>
      <c r="R26" s="169">
        <v>100</v>
      </c>
      <c r="S26" s="169">
        <v>96.021901034853499</v>
      </c>
      <c r="T26" s="169">
        <v>91.038903739216877</v>
      </c>
      <c r="U26" s="155">
        <v>94.637546096500103</v>
      </c>
      <c r="V26" s="4"/>
      <c r="W26" s="4"/>
      <c r="AG26" s="136"/>
    </row>
    <row r="27" spans="1:33" s="16" customFormat="1" ht="11.25" customHeight="1" x14ac:dyDescent="0.2">
      <c r="A27" s="136" t="s">
        <v>99</v>
      </c>
      <c r="B27" s="153" t="s">
        <v>48</v>
      </c>
      <c r="C27" s="173" t="s">
        <v>46</v>
      </c>
      <c r="D27" s="174">
        <v>0.24722186131348933</v>
      </c>
      <c r="E27" s="174">
        <v>0.28366661898720863</v>
      </c>
      <c r="F27" s="170">
        <v>114.7417212539734</v>
      </c>
      <c r="G27" s="14"/>
      <c r="H27" s="174">
        <v>0.27329428215254642</v>
      </c>
      <c r="I27" s="174">
        <v>0.28101989871477207</v>
      </c>
      <c r="J27" s="174">
        <v>0.28366661898720863</v>
      </c>
      <c r="K27" s="174">
        <v>0.29714408743943171</v>
      </c>
      <c r="L27" s="174">
        <v>0.30989637624006716</v>
      </c>
      <c r="M27" s="174">
        <v>0.26845512730440285</v>
      </c>
      <c r="N27" s="19"/>
      <c r="P27" s="157">
        <v>96.343476411960211</v>
      </c>
      <c r="Q27" s="183">
        <v>99.066960969222848</v>
      </c>
      <c r="R27" s="183">
        <v>100</v>
      </c>
      <c r="S27" s="183">
        <v>104.75116476529472</v>
      </c>
      <c r="T27" s="183">
        <v>109.24668448706025</v>
      </c>
      <c r="U27" s="157">
        <v>94.637546096500088</v>
      </c>
      <c r="V27" s="4"/>
      <c r="W27" s="73"/>
      <c r="AG27" s="136"/>
    </row>
    <row r="28" spans="1:33" s="16" customFormat="1" ht="11.25" customHeight="1" x14ac:dyDescent="0.2">
      <c r="A28" s="210" t="s">
        <v>99</v>
      </c>
      <c r="B28" s="16" t="s">
        <v>47</v>
      </c>
      <c r="C28" s="175" t="s">
        <v>46</v>
      </c>
      <c r="D28" s="221">
        <v>0.32200000000000001</v>
      </c>
      <c r="E28" s="221">
        <v>0.183</v>
      </c>
      <c r="F28" s="164">
        <v>56.832298136645967</v>
      </c>
      <c r="G28" s="14"/>
      <c r="H28" s="221">
        <v>0.183</v>
      </c>
      <c r="I28" s="221">
        <v>0.183</v>
      </c>
      <c r="J28" s="221">
        <v>0.183</v>
      </c>
      <c r="K28" s="221">
        <v>0.183</v>
      </c>
      <c r="L28" s="221">
        <v>0.183</v>
      </c>
      <c r="M28" s="221">
        <v>0.183</v>
      </c>
      <c r="N28" s="19"/>
      <c r="P28" s="73">
        <v>100</v>
      </c>
      <c r="Q28" s="184">
        <v>100</v>
      </c>
      <c r="R28" s="184">
        <v>100</v>
      </c>
      <c r="S28" s="184">
        <v>100</v>
      </c>
      <c r="T28" s="184">
        <v>100</v>
      </c>
      <c r="U28" s="73">
        <v>100</v>
      </c>
      <c r="V28" s="4"/>
      <c r="W28" s="73"/>
      <c r="AG28" s="136"/>
    </row>
    <row r="29" spans="1:33" s="9" customFormat="1" ht="11.25" customHeight="1" x14ac:dyDescent="0.2">
      <c r="A29" s="136" t="s">
        <v>99</v>
      </c>
      <c r="B29" s="9" t="s">
        <v>45</v>
      </c>
      <c r="C29" s="159" t="s">
        <v>35</v>
      </c>
      <c r="D29" s="163">
        <v>2632.8881302946202</v>
      </c>
      <c r="E29" s="163">
        <v>1628.8216667327499</v>
      </c>
      <c r="F29" s="164">
        <v>61.864446422586319</v>
      </c>
      <c r="G29" s="8"/>
      <c r="H29" s="163">
        <v>1862.2298787186437</v>
      </c>
      <c r="I29" s="163">
        <v>1745.5257727256967</v>
      </c>
      <c r="J29" s="163">
        <v>1628.8216667327499</v>
      </c>
      <c r="K29" s="163">
        <v>1503.5867624673406</v>
      </c>
      <c r="L29" s="163">
        <v>1386.8826564743938</v>
      </c>
      <c r="M29" s="163">
        <v>1628.8216667327499</v>
      </c>
      <c r="N29" s="1"/>
      <c r="P29" s="8">
        <v>114.32988133403742</v>
      </c>
      <c r="Q29" s="163">
        <v>107.16494066701871</v>
      </c>
      <c r="R29" s="163">
        <v>100</v>
      </c>
      <c r="S29" s="163">
        <v>92.311318861774623</v>
      </c>
      <c r="T29" s="163">
        <v>85.146378194755897</v>
      </c>
      <c r="U29" s="8">
        <v>100</v>
      </c>
      <c r="V29" s="8"/>
      <c r="W29" s="8"/>
      <c r="AG29" s="136"/>
    </row>
    <row r="30" spans="1:33" ht="11.25" customHeight="1" x14ac:dyDescent="0.2">
      <c r="A30" s="136" t="s">
        <v>99</v>
      </c>
      <c r="B30" s="1" t="s">
        <v>44</v>
      </c>
      <c r="C30" s="162" t="s">
        <v>35</v>
      </c>
      <c r="D30" s="177">
        <v>0</v>
      </c>
      <c r="E30" s="177">
        <v>0</v>
      </c>
      <c r="F30" s="164"/>
      <c r="G30" s="8"/>
      <c r="H30" s="177">
        <v>0</v>
      </c>
      <c r="I30" s="177">
        <v>0</v>
      </c>
      <c r="J30" s="177">
        <v>0</v>
      </c>
      <c r="K30" s="177">
        <v>0</v>
      </c>
      <c r="L30" s="177">
        <v>0</v>
      </c>
      <c r="M30" s="177">
        <v>0</v>
      </c>
      <c r="P30" s="4"/>
      <c r="Q30" s="177"/>
      <c r="R30" s="177"/>
      <c r="S30" s="177"/>
      <c r="T30" s="177"/>
      <c r="U30" s="4"/>
      <c r="V30" s="4"/>
      <c r="W30" s="4"/>
      <c r="AG30" s="136"/>
    </row>
    <row r="31" spans="1:33" ht="11.25" customHeight="1" x14ac:dyDescent="0.2">
      <c r="A31" s="136" t="s">
        <v>99</v>
      </c>
      <c r="B31" s="151" t="s">
        <v>43</v>
      </c>
      <c r="C31" s="165"/>
      <c r="D31" s="171"/>
      <c r="E31" s="171"/>
      <c r="F31" s="170"/>
      <c r="G31" s="8"/>
      <c r="H31" s="171"/>
      <c r="I31" s="171"/>
      <c r="J31" s="171"/>
      <c r="K31" s="171"/>
      <c r="L31" s="171"/>
      <c r="M31" s="171"/>
      <c r="P31" s="156"/>
      <c r="Q31" s="171"/>
      <c r="R31" s="171"/>
      <c r="S31" s="171"/>
      <c r="T31" s="171"/>
      <c r="U31" s="156"/>
      <c r="V31" s="4"/>
      <c r="W31" s="4"/>
      <c r="AG31" s="136"/>
    </row>
    <row r="32" spans="1:33" ht="11.25" customHeight="1" x14ac:dyDescent="0.2">
      <c r="A32" s="136" t="s">
        <v>99</v>
      </c>
      <c r="B32" s="152" t="s">
        <v>42</v>
      </c>
      <c r="C32" s="165" t="s">
        <v>35</v>
      </c>
      <c r="D32" s="171">
        <v>2632.8881302946202</v>
      </c>
      <c r="E32" s="171">
        <v>1628.8216667327499</v>
      </c>
      <c r="F32" s="172">
        <v>61.864446422586319</v>
      </c>
      <c r="G32" s="8"/>
      <c r="H32" s="171">
        <v>1862.2298787186437</v>
      </c>
      <c r="I32" s="171">
        <v>1745.5257727256967</v>
      </c>
      <c r="J32" s="171">
        <v>1628.8216667327499</v>
      </c>
      <c r="K32" s="171">
        <v>1503.5867624673406</v>
      </c>
      <c r="L32" s="171">
        <v>1386.8826564743938</v>
      </c>
      <c r="M32" s="171">
        <v>1628.8216667327499</v>
      </c>
      <c r="P32" s="156">
        <v>114.32988133403742</v>
      </c>
      <c r="Q32" s="171">
        <v>107.16494066701871</v>
      </c>
      <c r="R32" s="171">
        <v>100</v>
      </c>
      <c r="S32" s="171">
        <v>92.311318861774623</v>
      </c>
      <c r="T32" s="171">
        <v>85.146378194755897</v>
      </c>
      <c r="U32" s="156">
        <v>100</v>
      </c>
      <c r="V32" s="4"/>
      <c r="W32" s="4"/>
      <c r="AG32" s="136"/>
    </row>
    <row r="33" spans="1:33" ht="11.25" customHeight="1" x14ac:dyDescent="0.2">
      <c r="A33" s="136" t="s">
        <v>99</v>
      </c>
      <c r="B33" s="152" t="s">
        <v>41</v>
      </c>
      <c r="C33" s="165" t="s">
        <v>35</v>
      </c>
      <c r="D33" s="171">
        <v>2184.219298175557</v>
      </c>
      <c r="E33" s="171">
        <v>2232.821380656002</v>
      </c>
      <c r="F33" s="172">
        <v>102.22514664718152</v>
      </c>
      <c r="G33" s="8"/>
      <c r="H33" s="171">
        <v>2494.2898537864698</v>
      </c>
      <c r="I33" s="171">
        <v>2382.6551143717156</v>
      </c>
      <c r="J33" s="171">
        <v>2232.821380656002</v>
      </c>
      <c r="K33" s="171">
        <v>2131.3792433842154</v>
      </c>
      <c r="L33" s="171">
        <v>2021.3645376747299</v>
      </c>
      <c r="M33" s="171">
        <v>2141.5524305591666</v>
      </c>
      <c r="P33" s="156">
        <v>111.71022793832476</v>
      </c>
      <c r="Q33" s="171">
        <v>106.71051141904115</v>
      </c>
      <c r="R33" s="171">
        <v>100</v>
      </c>
      <c r="S33" s="171">
        <v>95.456773293617289</v>
      </c>
      <c r="T33" s="171">
        <v>90.529612229028984</v>
      </c>
      <c r="U33" s="156">
        <v>95.912393580268358</v>
      </c>
      <c r="V33" s="4"/>
      <c r="W33" s="4"/>
      <c r="AG33" s="136"/>
    </row>
    <row r="34" spans="1:33" ht="11.25" customHeight="1" x14ac:dyDescent="0.2">
      <c r="A34" s="136" t="s">
        <v>99</v>
      </c>
      <c r="B34" s="152" t="s">
        <v>40</v>
      </c>
      <c r="C34" s="165" t="s">
        <v>35</v>
      </c>
      <c r="D34" s="171">
        <v>1680.1005391179767</v>
      </c>
      <c r="E34" s="171">
        <v>1695.1940917780623</v>
      </c>
      <c r="F34" s="172">
        <v>100.8983719907625</v>
      </c>
      <c r="G34" s="8"/>
      <c r="H34" s="171">
        <v>1911.7518449120089</v>
      </c>
      <c r="I34" s="171">
        <v>1812.8363785567485</v>
      </c>
      <c r="J34" s="171">
        <v>1695.1940917780623</v>
      </c>
      <c r="K34" s="171">
        <v>1612.1232256283406</v>
      </c>
      <c r="L34" s="171">
        <v>1527.3550218091502</v>
      </c>
      <c r="M34" s="171">
        <v>1667.7470655095058</v>
      </c>
      <c r="P34" s="156">
        <v>112.77480579859753</v>
      </c>
      <c r="Q34" s="171">
        <v>106.9397532323448</v>
      </c>
      <c r="R34" s="171">
        <v>100</v>
      </c>
      <c r="S34" s="171">
        <v>95.099625078176743</v>
      </c>
      <c r="T34" s="171">
        <v>90.099123706072589</v>
      </c>
      <c r="U34" s="156">
        <v>98.380891816360233</v>
      </c>
      <c r="V34" s="4"/>
      <c r="W34" s="4"/>
      <c r="AG34" s="136"/>
    </row>
    <row r="35" spans="1:33" ht="11.25" customHeight="1" x14ac:dyDescent="0.2">
      <c r="A35" s="136" t="s">
        <v>99</v>
      </c>
      <c r="B35" s="152" t="s">
        <v>39</v>
      </c>
      <c r="C35" s="165" t="s">
        <v>35</v>
      </c>
      <c r="D35" s="171">
        <v>133.9974707496317</v>
      </c>
      <c r="E35" s="171">
        <v>138.26788117992095</v>
      </c>
      <c r="F35" s="172">
        <v>103.18693360882037</v>
      </c>
      <c r="G35" s="8"/>
      <c r="H35" s="171">
        <v>148.16448969479762</v>
      </c>
      <c r="I35" s="171">
        <v>146.23950604727759</v>
      </c>
      <c r="J35" s="171">
        <v>138.26788117992095</v>
      </c>
      <c r="K35" s="171">
        <v>134.56849701677558</v>
      </c>
      <c r="L35" s="171">
        <v>128.8859542016161</v>
      </c>
      <c r="M35" s="171">
        <v>114.9196470114522</v>
      </c>
      <c r="P35" s="156">
        <v>107.15756141659445</v>
      </c>
      <c r="Q35" s="171">
        <v>105.76534824959354</v>
      </c>
      <c r="R35" s="171">
        <v>100</v>
      </c>
      <c r="S35" s="171">
        <v>97.324480471114228</v>
      </c>
      <c r="T35" s="171">
        <v>93.214673647818017</v>
      </c>
      <c r="U35" s="156">
        <v>83.113768744248802</v>
      </c>
      <c r="V35" s="4"/>
      <c r="W35" s="4"/>
      <c r="AG35" s="136"/>
    </row>
    <row r="36" spans="1:33" s="9" customFormat="1" ht="11.25" customHeight="1" x14ac:dyDescent="0.2">
      <c r="A36" s="136" t="s">
        <v>99</v>
      </c>
      <c r="B36" s="151" t="s">
        <v>38</v>
      </c>
      <c r="C36" s="168" t="s">
        <v>35</v>
      </c>
      <c r="D36" s="169">
        <v>370.12128830794859</v>
      </c>
      <c r="E36" s="169">
        <v>399.35940769801874</v>
      </c>
      <c r="F36" s="170">
        <v>107.8996048899904</v>
      </c>
      <c r="G36" s="8"/>
      <c r="H36" s="169">
        <v>434.37351917966333</v>
      </c>
      <c r="I36" s="169">
        <v>423.57922976768953</v>
      </c>
      <c r="J36" s="169">
        <v>399.35940769801874</v>
      </c>
      <c r="K36" s="169">
        <v>384.68752073909923</v>
      </c>
      <c r="L36" s="169">
        <v>365.12356166396364</v>
      </c>
      <c r="M36" s="169">
        <v>358.88571803820867</v>
      </c>
      <c r="N36" s="1"/>
      <c r="P36" s="155">
        <v>108.76756896337372</v>
      </c>
      <c r="Q36" s="169">
        <v>106.06466796645115</v>
      </c>
      <c r="R36" s="169">
        <v>100</v>
      </c>
      <c r="S36" s="169">
        <v>96.326144651633228</v>
      </c>
      <c r="T36" s="169">
        <v>91.427309492620495</v>
      </c>
      <c r="U36" s="155">
        <v>89.865347133523684</v>
      </c>
      <c r="V36" s="8"/>
      <c r="W36" s="8"/>
      <c r="AG36" s="136"/>
    </row>
    <row r="37" spans="1:33" ht="11.25" customHeight="1" x14ac:dyDescent="0.2">
      <c r="A37" s="136" t="s">
        <v>99</v>
      </c>
      <c r="B37" s="152" t="s">
        <v>37</v>
      </c>
      <c r="C37" s="165" t="s">
        <v>35</v>
      </c>
      <c r="D37" s="171">
        <v>952.78759117664345</v>
      </c>
      <c r="E37" s="171">
        <v>-66.372425045312411</v>
      </c>
      <c r="F37" s="172"/>
      <c r="G37" s="8"/>
      <c r="H37" s="171">
        <v>-49.521966193365188</v>
      </c>
      <c r="I37" s="171">
        <v>-67.310605831051816</v>
      </c>
      <c r="J37" s="171">
        <v>-66.372425045312411</v>
      </c>
      <c r="K37" s="171">
        <v>-108.53646316100003</v>
      </c>
      <c r="L37" s="171">
        <v>-140.47236533475643</v>
      </c>
      <c r="M37" s="171">
        <v>-38.925398776755856</v>
      </c>
      <c r="P37" s="156"/>
      <c r="Q37" s="171"/>
      <c r="R37" s="171"/>
      <c r="S37" s="171"/>
      <c r="T37" s="171"/>
      <c r="U37" s="156"/>
      <c r="V37" s="4"/>
      <c r="W37" s="4"/>
      <c r="AG37" s="136"/>
    </row>
    <row r="38" spans="1:33" s="9" customFormat="1" ht="11.25" customHeight="1" x14ac:dyDescent="0.2">
      <c r="A38" s="136" t="s">
        <v>99</v>
      </c>
      <c r="B38" s="151" t="s">
        <v>36</v>
      </c>
      <c r="C38" s="168" t="s">
        <v>35</v>
      </c>
      <c r="D38" s="169">
        <v>818.79012042701174</v>
      </c>
      <c r="E38" s="169">
        <v>-204.64030622523336</v>
      </c>
      <c r="F38" s="170"/>
      <c r="G38" s="8"/>
      <c r="H38" s="169">
        <v>-197.68645588816281</v>
      </c>
      <c r="I38" s="169">
        <v>-213.5501118783294</v>
      </c>
      <c r="J38" s="169">
        <v>-204.64030622523336</v>
      </c>
      <c r="K38" s="169">
        <v>-243.10496017777561</v>
      </c>
      <c r="L38" s="169">
        <v>-269.35831953637251</v>
      </c>
      <c r="M38" s="169">
        <v>-153.84504578820804</v>
      </c>
      <c r="N38" s="1"/>
      <c r="P38" s="155"/>
      <c r="Q38" s="169"/>
      <c r="R38" s="169"/>
      <c r="S38" s="169"/>
      <c r="T38" s="169"/>
      <c r="U38" s="155"/>
      <c r="V38" s="8"/>
      <c r="W38" s="8"/>
      <c r="AG38" s="136"/>
    </row>
    <row r="39" spans="1:33" ht="11.25" customHeight="1" x14ac:dyDescent="0.25">
      <c r="A39" s="136" t="s">
        <v>99</v>
      </c>
      <c r="B39" s="152" t="s">
        <v>34</v>
      </c>
      <c r="C39" s="167" t="s">
        <v>33</v>
      </c>
      <c r="D39" s="171">
        <v>38.53957001514609</v>
      </c>
      <c r="E39" s="171">
        <v>-9.6384470336246704</v>
      </c>
      <c r="F39" s="172"/>
      <c r="G39" s="8"/>
      <c r="H39" s="171">
        <v>-8.4336032109026728</v>
      </c>
      <c r="I39" s="171">
        <v>-9.38720814596096</v>
      </c>
      <c r="J39" s="171">
        <v>-9.6384470336246704</v>
      </c>
      <c r="K39" s="171">
        <v>-11.975898084479207</v>
      </c>
      <c r="L39" s="171">
        <v>-14.158860981145489</v>
      </c>
      <c r="M39" s="171">
        <v>-8.1620999060850501</v>
      </c>
      <c r="P39" s="156"/>
      <c r="Q39" s="171"/>
      <c r="R39" s="171"/>
      <c r="S39" s="171"/>
      <c r="T39" s="171"/>
      <c r="U39" s="156"/>
      <c r="V39" s="4"/>
      <c r="W39" s="4"/>
      <c r="X39" s="339" t="s">
        <v>171</v>
      </c>
      <c r="Y39" s="340"/>
      <c r="Z39" s="340"/>
      <c r="AA39" s="340"/>
      <c r="AB39" s="340"/>
      <c r="AC39" s="340"/>
      <c r="AD39" s="340"/>
      <c r="AE39" s="340"/>
      <c r="AF39" s="340"/>
      <c r="AG39" s="136"/>
    </row>
    <row r="40" spans="1:33" ht="12" customHeight="1" x14ac:dyDescent="0.25">
      <c r="A40" s="136" t="s">
        <v>99</v>
      </c>
      <c r="C40" s="19"/>
      <c r="D40" s="35">
        <v>3.6444757673719297E-2</v>
      </c>
      <c r="E40" s="35">
        <v>0</v>
      </c>
      <c r="F40" s="36"/>
      <c r="G40" s="36"/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/>
      <c r="P40" s="4"/>
      <c r="Q40" s="4"/>
      <c r="R40" s="4"/>
      <c r="S40" s="4"/>
      <c r="T40" s="4"/>
      <c r="U40" s="4"/>
      <c r="V40" s="4"/>
      <c r="W40" s="4"/>
      <c r="X40" s="192" t="s">
        <v>261</v>
      </c>
      <c r="AG40" s="136"/>
    </row>
    <row r="41" spans="1:33" ht="15" customHeight="1" x14ac:dyDescent="0.25">
      <c r="A41" s="136" t="s">
        <v>262</v>
      </c>
      <c r="B41" s="144" t="s">
        <v>148</v>
      </c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36"/>
    </row>
    <row r="42" spans="1:33" ht="14.25" customHeight="1" x14ac:dyDescent="0.25">
      <c r="A42" s="136" t="s">
        <v>262</v>
      </c>
      <c r="B42" s="144" t="s">
        <v>149</v>
      </c>
      <c r="C42" s="140"/>
      <c r="D42" s="143" t="s">
        <v>118</v>
      </c>
      <c r="E42" s="143" t="s">
        <v>118</v>
      </c>
      <c r="F42" s="143"/>
      <c r="G42" s="143"/>
      <c r="H42" s="143" t="s">
        <v>146</v>
      </c>
      <c r="I42" s="143" t="s">
        <v>164</v>
      </c>
      <c r="J42" s="143" t="s">
        <v>145</v>
      </c>
      <c r="K42" s="143" t="s">
        <v>163</v>
      </c>
      <c r="L42" s="143" t="s">
        <v>162</v>
      </c>
      <c r="M42" s="143" t="s">
        <v>165</v>
      </c>
      <c r="N42" s="143"/>
      <c r="O42" s="139"/>
      <c r="P42" s="139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36"/>
    </row>
    <row r="43" spans="1:33" ht="15" customHeight="1" x14ac:dyDescent="0.25">
      <c r="A43" s="136" t="s">
        <v>262</v>
      </c>
      <c r="B43" s="149" t="s">
        <v>262</v>
      </c>
      <c r="C43" s="158"/>
      <c r="D43" s="185">
        <v>2022</v>
      </c>
      <c r="E43" s="185">
        <v>2023</v>
      </c>
      <c r="F43" s="341" t="s">
        <v>257</v>
      </c>
      <c r="G43" s="186"/>
      <c r="H43" s="179"/>
      <c r="I43" s="179"/>
      <c r="J43" s="179" t="s">
        <v>258</v>
      </c>
      <c r="K43" s="179"/>
      <c r="L43" s="179"/>
      <c r="M43" s="179"/>
      <c r="N43" s="142"/>
      <c r="O43" s="142"/>
      <c r="P43" s="179"/>
      <c r="Q43" s="179"/>
      <c r="R43" s="179" t="s">
        <v>160</v>
      </c>
      <c r="S43" s="179"/>
      <c r="T43" s="179"/>
      <c r="U43" s="179"/>
      <c r="V43" s="66"/>
      <c r="W43" s="66"/>
      <c r="AG43" s="5"/>
    </row>
    <row r="44" spans="1:33" ht="23.25" customHeight="1" x14ac:dyDescent="0.25">
      <c r="A44" s="136" t="s">
        <v>262</v>
      </c>
      <c r="B44" s="150" t="s">
        <v>84</v>
      </c>
      <c r="C44" s="158" t="s">
        <v>63</v>
      </c>
      <c r="D44" s="185"/>
      <c r="E44" s="330" t="s">
        <v>259</v>
      </c>
      <c r="F44" s="342"/>
      <c r="G44" s="186"/>
      <c r="H44" s="187" t="s">
        <v>83</v>
      </c>
      <c r="I44" s="185" t="s">
        <v>82</v>
      </c>
      <c r="J44" s="214" t="s">
        <v>81</v>
      </c>
      <c r="K44" s="185" t="s">
        <v>80</v>
      </c>
      <c r="L44" s="185" t="s">
        <v>79</v>
      </c>
      <c r="M44" s="205" t="s">
        <v>78</v>
      </c>
      <c r="N44" s="191"/>
      <c r="O44" s="191"/>
      <c r="P44" s="188" t="s">
        <v>83</v>
      </c>
      <c r="Q44" s="185" t="s">
        <v>82</v>
      </c>
      <c r="R44" s="214" t="s">
        <v>81</v>
      </c>
      <c r="S44" s="185" t="s">
        <v>80</v>
      </c>
      <c r="T44" s="185" t="s">
        <v>79</v>
      </c>
      <c r="U44" s="188" t="s">
        <v>78</v>
      </c>
      <c r="V44" s="66"/>
      <c r="W44" s="66"/>
      <c r="AG44" s="5"/>
    </row>
    <row r="45" spans="1:33" x14ac:dyDescent="0.2">
      <c r="A45" s="136" t="s">
        <v>262</v>
      </c>
      <c r="B45" s="9" t="s">
        <v>21</v>
      </c>
      <c r="C45" s="159" t="s">
        <v>20</v>
      </c>
      <c r="D45" s="160">
        <v>5500</v>
      </c>
      <c r="E45" s="160">
        <v>5500</v>
      </c>
      <c r="F45" s="160"/>
      <c r="G45" s="78"/>
      <c r="H45" s="178">
        <v>6500</v>
      </c>
      <c r="I45" s="178">
        <v>6000</v>
      </c>
      <c r="J45" s="178">
        <v>5500</v>
      </c>
      <c r="K45" s="178">
        <v>5000</v>
      </c>
      <c r="L45" s="178">
        <v>4500</v>
      </c>
      <c r="M45" s="178">
        <v>5500</v>
      </c>
      <c r="N45" s="2"/>
      <c r="O45" s="2"/>
      <c r="P45" s="62">
        <v>118.18181818181819</v>
      </c>
      <c r="Q45" s="180">
        <v>109.09090909090908</v>
      </c>
      <c r="R45" s="180">
        <v>100</v>
      </c>
      <c r="S45" s="180">
        <v>90.909090909090907</v>
      </c>
      <c r="T45" s="180">
        <v>81.818181818181827</v>
      </c>
      <c r="U45" s="62">
        <v>100</v>
      </c>
      <c r="V45" s="82"/>
      <c r="W45" s="82"/>
      <c r="AG45" s="5"/>
    </row>
    <row r="46" spans="1:33" ht="6" customHeight="1" x14ac:dyDescent="0.2">
      <c r="A46" s="136" t="s">
        <v>262</v>
      </c>
      <c r="B46" s="9"/>
      <c r="C46" s="159"/>
      <c r="D46" s="161"/>
      <c r="E46" s="161"/>
      <c r="F46" s="160"/>
      <c r="G46" s="78"/>
      <c r="H46" s="161"/>
      <c r="I46" s="161"/>
      <c r="J46" s="161"/>
      <c r="K46" s="161"/>
      <c r="L46" s="161"/>
      <c r="M46" s="161"/>
      <c r="P46" s="82"/>
      <c r="Q46" s="181"/>
      <c r="R46" s="181"/>
      <c r="S46" s="181"/>
      <c r="T46" s="181"/>
      <c r="U46" s="82"/>
      <c r="V46" s="82"/>
      <c r="W46" s="82"/>
      <c r="AG46" s="5"/>
    </row>
    <row r="47" spans="1:33" ht="6" customHeight="1" x14ac:dyDescent="0.2">
      <c r="A47" s="136" t="s">
        <v>262</v>
      </c>
      <c r="B47" s="9"/>
      <c r="C47" s="162"/>
      <c r="D47" s="161"/>
      <c r="E47" s="161"/>
      <c r="F47" s="161"/>
      <c r="G47" s="137"/>
      <c r="H47" s="161"/>
      <c r="I47" s="161"/>
      <c r="J47" s="161"/>
      <c r="K47" s="161"/>
      <c r="L47" s="161"/>
      <c r="M47" s="161"/>
      <c r="P47" s="84"/>
      <c r="Q47" s="182"/>
      <c r="R47" s="182"/>
      <c r="S47" s="182"/>
      <c r="T47" s="182"/>
      <c r="U47" s="84"/>
      <c r="V47" s="82"/>
      <c r="W47" s="82"/>
      <c r="AG47" s="5"/>
    </row>
    <row r="48" spans="1:33" ht="11.25" customHeight="1" x14ac:dyDescent="0.2">
      <c r="A48" s="136" t="s">
        <v>262</v>
      </c>
      <c r="B48" s="9" t="s">
        <v>90</v>
      </c>
      <c r="C48" s="159" t="s">
        <v>89</v>
      </c>
      <c r="D48" s="163">
        <v>1</v>
      </c>
      <c r="E48" s="163">
        <v>1</v>
      </c>
      <c r="F48" s="164"/>
      <c r="G48" s="8"/>
      <c r="H48" s="163">
        <v>1</v>
      </c>
      <c r="I48" s="163">
        <v>1</v>
      </c>
      <c r="J48" s="163">
        <v>1</v>
      </c>
      <c r="K48" s="163">
        <v>1</v>
      </c>
      <c r="L48" s="163">
        <v>1</v>
      </c>
      <c r="M48" s="163">
        <v>5</v>
      </c>
      <c r="N48" s="9"/>
      <c r="O48" s="9"/>
      <c r="P48" s="84">
        <v>100</v>
      </c>
      <c r="Q48" s="182">
        <v>100</v>
      </c>
      <c r="R48" s="182">
        <v>100</v>
      </c>
      <c r="S48" s="182">
        <v>100</v>
      </c>
      <c r="T48" s="182">
        <v>100</v>
      </c>
      <c r="U48" s="84">
        <v>500</v>
      </c>
      <c r="V48" s="26"/>
      <c r="W48" s="26"/>
      <c r="AG48" s="5"/>
    </row>
    <row r="49" spans="1:33" ht="11.25" customHeight="1" x14ac:dyDescent="0.2">
      <c r="A49" s="136" t="s">
        <v>262</v>
      </c>
      <c r="B49" s="151" t="s">
        <v>62</v>
      </c>
      <c r="C49" s="165"/>
      <c r="D49" s="166"/>
      <c r="E49" s="166"/>
      <c r="F49" s="167"/>
      <c r="H49" s="166"/>
      <c r="I49" s="166"/>
      <c r="J49" s="166"/>
      <c r="K49" s="166"/>
      <c r="L49" s="166"/>
      <c r="M49" s="166"/>
      <c r="P49" s="154"/>
      <c r="Q49" s="166"/>
      <c r="R49" s="166"/>
      <c r="S49" s="166"/>
      <c r="T49" s="166"/>
      <c r="U49" s="154"/>
      <c r="V49" s="76"/>
      <c r="W49" s="76"/>
      <c r="AG49" s="5"/>
    </row>
    <row r="50" spans="1:33" s="9" customFormat="1" ht="11.25" customHeight="1" x14ac:dyDescent="0.2">
      <c r="A50" s="136" t="s">
        <v>262</v>
      </c>
      <c r="B50" s="151" t="s">
        <v>61</v>
      </c>
      <c r="C50" s="168" t="s">
        <v>35</v>
      </c>
      <c r="D50" s="169">
        <v>1671.3217847737155</v>
      </c>
      <c r="E50" s="169">
        <v>1738.9875087072624</v>
      </c>
      <c r="F50" s="170">
        <v>104.04863531068665</v>
      </c>
      <c r="G50" s="8"/>
      <c r="H50" s="169">
        <v>1934.563481319489</v>
      </c>
      <c r="I50" s="169">
        <v>1839.0401854348806</v>
      </c>
      <c r="J50" s="169">
        <v>1738.9875087072624</v>
      </c>
      <c r="K50" s="169">
        <v>1654.4148623454666</v>
      </c>
      <c r="L50" s="169">
        <v>1547.6232554979938</v>
      </c>
      <c r="M50" s="169">
        <v>1647.5569564360758</v>
      </c>
      <c r="N50" s="1"/>
      <c r="P50" s="155">
        <v>111.24654269412291</v>
      </c>
      <c r="Q50" s="169">
        <v>105.75350174895712</v>
      </c>
      <c r="R50" s="169">
        <v>100</v>
      </c>
      <c r="S50" s="169">
        <v>95.136673153870674</v>
      </c>
      <c r="T50" s="169">
        <v>88.995651075635038</v>
      </c>
      <c r="U50" s="155">
        <v>94.742311154428322</v>
      </c>
      <c r="V50" s="8"/>
      <c r="W50" s="8"/>
      <c r="AG50" s="5"/>
    </row>
    <row r="51" spans="1:33" ht="11.25" customHeight="1" x14ac:dyDescent="0.2">
      <c r="A51" s="136" t="s">
        <v>262</v>
      </c>
      <c r="B51" s="152" t="s">
        <v>60</v>
      </c>
      <c r="C51" s="165" t="s">
        <v>35</v>
      </c>
      <c r="D51" s="171">
        <v>124.51999999999998</v>
      </c>
      <c r="E51" s="171">
        <v>180.1391092846271</v>
      </c>
      <c r="F51" s="172">
        <v>144.66680797030767</v>
      </c>
      <c r="G51" s="8"/>
      <c r="H51" s="171">
        <v>180.1391092846271</v>
      </c>
      <c r="I51" s="171">
        <v>180.1391092846271</v>
      </c>
      <c r="J51" s="171">
        <v>180.1391092846271</v>
      </c>
      <c r="K51" s="171">
        <v>180.1391092846271</v>
      </c>
      <c r="L51" s="171">
        <v>180.1391092846271</v>
      </c>
      <c r="M51" s="171">
        <v>180.1391092846271</v>
      </c>
      <c r="P51" s="156">
        <v>100</v>
      </c>
      <c r="Q51" s="171">
        <v>100</v>
      </c>
      <c r="R51" s="171">
        <v>100</v>
      </c>
      <c r="S51" s="171">
        <v>100</v>
      </c>
      <c r="T51" s="171">
        <v>100</v>
      </c>
      <c r="U51" s="156">
        <v>100</v>
      </c>
      <c r="V51" s="4"/>
      <c r="W51" s="4"/>
      <c r="AG51" s="5"/>
    </row>
    <row r="52" spans="1:33" ht="11.25" customHeight="1" x14ac:dyDescent="0.2">
      <c r="A52" s="136" t="s">
        <v>262</v>
      </c>
      <c r="B52" s="152" t="s">
        <v>59</v>
      </c>
      <c r="C52" s="165" t="s">
        <v>35</v>
      </c>
      <c r="D52" s="171">
        <v>548.31333712208607</v>
      </c>
      <c r="E52" s="171">
        <v>571.23436285456216</v>
      </c>
      <c r="F52" s="172">
        <v>104.18027871668795</v>
      </c>
      <c r="G52" s="8"/>
      <c r="H52" s="171">
        <v>680.90382017152319</v>
      </c>
      <c r="I52" s="171">
        <v>627.78539514306487</v>
      </c>
      <c r="J52" s="171">
        <v>571.23436285456216</v>
      </c>
      <c r="K52" s="171">
        <v>514.68333056605957</v>
      </c>
      <c r="L52" s="171">
        <v>458.13229827755691</v>
      </c>
      <c r="M52" s="171">
        <v>571.23436285456216</v>
      </c>
      <c r="P52" s="156">
        <v>119.19867998992966</v>
      </c>
      <c r="Q52" s="171">
        <v>109.89979524444344</v>
      </c>
      <c r="R52" s="171">
        <v>100</v>
      </c>
      <c r="S52" s="171">
        <v>90.100204755556575</v>
      </c>
      <c r="T52" s="171">
        <v>80.200409511113151</v>
      </c>
      <c r="U52" s="156">
        <v>100</v>
      </c>
      <c r="V52" s="4"/>
      <c r="W52" s="4"/>
      <c r="AG52" s="5"/>
    </row>
    <row r="53" spans="1:33" ht="11.25" customHeight="1" x14ac:dyDescent="0.2">
      <c r="A53" s="136" t="s">
        <v>262</v>
      </c>
      <c r="B53" s="152" t="s">
        <v>58</v>
      </c>
      <c r="C53" s="165" t="s">
        <v>35</v>
      </c>
      <c r="D53" s="171">
        <v>129.14628000000002</v>
      </c>
      <c r="E53" s="171">
        <v>150.43775999999997</v>
      </c>
      <c r="F53" s="172">
        <v>116.48632852607133</v>
      </c>
      <c r="G53" s="8"/>
      <c r="H53" s="171">
        <v>150.43775999999997</v>
      </c>
      <c r="I53" s="171">
        <v>150.43775999999997</v>
      </c>
      <c r="J53" s="171">
        <v>150.43775999999997</v>
      </c>
      <c r="K53" s="171">
        <v>150.43775999999997</v>
      </c>
      <c r="L53" s="171">
        <v>150.43775999999997</v>
      </c>
      <c r="M53" s="171">
        <v>150.43775999999997</v>
      </c>
      <c r="P53" s="156">
        <v>100</v>
      </c>
      <c r="Q53" s="171">
        <v>100</v>
      </c>
      <c r="R53" s="171">
        <v>100</v>
      </c>
      <c r="S53" s="171">
        <v>100</v>
      </c>
      <c r="T53" s="171">
        <v>100</v>
      </c>
      <c r="U53" s="156">
        <v>100</v>
      </c>
      <c r="V53" s="4"/>
      <c r="W53" s="4"/>
      <c r="AG53" s="5"/>
    </row>
    <row r="54" spans="1:33" ht="11.25" customHeight="1" x14ac:dyDescent="0.2">
      <c r="A54" s="136" t="s">
        <v>262</v>
      </c>
      <c r="B54" s="152" t="s">
        <v>57</v>
      </c>
      <c r="C54" s="165" t="s">
        <v>35</v>
      </c>
      <c r="D54" s="171">
        <v>453.69961740462713</v>
      </c>
      <c r="E54" s="171">
        <v>441.04466410421099</v>
      </c>
      <c r="F54" s="172">
        <v>97.21071986509304</v>
      </c>
      <c r="G54" s="8"/>
      <c r="H54" s="171">
        <v>482.05309833005498</v>
      </c>
      <c r="I54" s="171">
        <v>461.54888121713304</v>
      </c>
      <c r="J54" s="171">
        <v>441.04466410421099</v>
      </c>
      <c r="K54" s="171">
        <v>420.540446991289</v>
      </c>
      <c r="L54" s="171">
        <v>400.03622987836701</v>
      </c>
      <c r="M54" s="171">
        <v>441.04466410421099</v>
      </c>
      <c r="P54" s="156">
        <v>109.29802298121771</v>
      </c>
      <c r="Q54" s="171">
        <v>104.64901149060886</v>
      </c>
      <c r="R54" s="171">
        <v>100</v>
      </c>
      <c r="S54" s="171">
        <v>95.350988509391144</v>
      </c>
      <c r="T54" s="171">
        <v>90.701977018782287</v>
      </c>
      <c r="U54" s="156">
        <v>100</v>
      </c>
      <c r="V54" s="4"/>
      <c r="W54" s="4"/>
      <c r="AG54" s="5"/>
    </row>
    <row r="55" spans="1:33" ht="11.25" customHeight="1" x14ac:dyDescent="0.2">
      <c r="A55" s="136" t="s">
        <v>262</v>
      </c>
      <c r="B55" s="152" t="s">
        <v>56</v>
      </c>
      <c r="C55" s="165" t="s">
        <v>35</v>
      </c>
      <c r="D55" s="171">
        <v>17.255700000000001</v>
      </c>
      <c r="E55" s="171">
        <v>17.255700000000001</v>
      </c>
      <c r="F55" s="172">
        <v>100</v>
      </c>
      <c r="G55" s="8"/>
      <c r="H55" s="171">
        <v>18.824400000000001</v>
      </c>
      <c r="I55" s="171">
        <v>18.824400000000001</v>
      </c>
      <c r="J55" s="171">
        <v>17.255700000000001</v>
      </c>
      <c r="K55" s="171">
        <v>15.687000000000001</v>
      </c>
      <c r="L55" s="171">
        <v>14.118300000000001</v>
      </c>
      <c r="M55" s="171">
        <v>17.255700000000001</v>
      </c>
      <c r="P55" s="156">
        <v>109.09090909090908</v>
      </c>
      <c r="Q55" s="171">
        <v>109.09090909090908</v>
      </c>
      <c r="R55" s="171">
        <v>100</v>
      </c>
      <c r="S55" s="171">
        <v>90.909090909090907</v>
      </c>
      <c r="T55" s="171">
        <v>81.818181818181827</v>
      </c>
      <c r="U55" s="156">
        <v>100</v>
      </c>
      <c r="V55" s="4"/>
      <c r="W55" s="4"/>
      <c r="AG55" s="5"/>
    </row>
    <row r="56" spans="1:33" ht="11.25" customHeight="1" x14ac:dyDescent="0.2">
      <c r="A56" s="136" t="s">
        <v>262</v>
      </c>
      <c r="B56" s="152" t="s">
        <v>55</v>
      </c>
      <c r="C56" s="165" t="s">
        <v>35</v>
      </c>
      <c r="D56" s="171">
        <v>368.9206258799324</v>
      </c>
      <c r="E56" s="171">
        <v>353.23957802856347</v>
      </c>
      <c r="F56" s="172">
        <v>95.749479223622373</v>
      </c>
      <c r="G56" s="8"/>
      <c r="H56" s="171">
        <v>391.92736579230996</v>
      </c>
      <c r="I56" s="171">
        <v>372.31032191225131</v>
      </c>
      <c r="J56" s="171">
        <v>353.23957802856347</v>
      </c>
      <c r="K56" s="171">
        <v>349.27434736582501</v>
      </c>
      <c r="L56" s="171">
        <v>323.5190355004022</v>
      </c>
      <c r="M56" s="171">
        <v>265.37234507342589</v>
      </c>
      <c r="P56" s="156">
        <v>110.95228003035893</v>
      </c>
      <c r="Q56" s="171">
        <v>105.39881289353872</v>
      </c>
      <c r="R56" s="171">
        <v>100</v>
      </c>
      <c r="S56" s="171">
        <v>98.877467048039051</v>
      </c>
      <c r="T56" s="171">
        <v>91.586293162835219</v>
      </c>
      <c r="U56" s="156">
        <v>75.125314823008736</v>
      </c>
      <c r="V56" s="4"/>
      <c r="W56" s="4"/>
      <c r="AG56" s="5"/>
    </row>
    <row r="57" spans="1:33" ht="11.25" customHeight="1" x14ac:dyDescent="0.2">
      <c r="A57" s="136" t="s">
        <v>262</v>
      </c>
      <c r="B57" s="152" t="s">
        <v>26</v>
      </c>
      <c r="C57" s="165" t="s">
        <v>35</v>
      </c>
      <c r="D57" s="171">
        <v>0</v>
      </c>
      <c r="E57" s="171">
        <v>0</v>
      </c>
      <c r="F57" s="172"/>
      <c r="G57" s="8"/>
      <c r="H57" s="171">
        <v>0</v>
      </c>
      <c r="I57" s="171">
        <v>0</v>
      </c>
      <c r="J57" s="171">
        <v>0</v>
      </c>
      <c r="K57" s="171">
        <v>0</v>
      </c>
      <c r="L57" s="171">
        <v>0</v>
      </c>
      <c r="M57" s="171">
        <v>0</v>
      </c>
      <c r="P57" s="156"/>
      <c r="Q57" s="171"/>
      <c r="R57" s="171"/>
      <c r="S57" s="171"/>
      <c r="T57" s="171"/>
      <c r="U57" s="156"/>
      <c r="V57" s="4"/>
      <c r="W57" s="4"/>
      <c r="AG57" s="5"/>
    </row>
    <row r="58" spans="1:33" s="9" customFormat="1" ht="11.25" customHeight="1" x14ac:dyDescent="0.2">
      <c r="A58" s="136" t="s">
        <v>262</v>
      </c>
      <c r="B58" s="151" t="s">
        <v>54</v>
      </c>
      <c r="C58" s="168" t="s">
        <v>35</v>
      </c>
      <c r="D58" s="169">
        <v>337.45887072090352</v>
      </c>
      <c r="E58" s="169">
        <v>362.98101563550756</v>
      </c>
      <c r="F58" s="170">
        <v>107.56303867789335</v>
      </c>
      <c r="G58" s="8"/>
      <c r="H58" s="169">
        <v>405.39580937533054</v>
      </c>
      <c r="I58" s="169">
        <v>384.04861874428161</v>
      </c>
      <c r="J58" s="169">
        <v>362.98101563550756</v>
      </c>
      <c r="K58" s="169">
        <v>352.75057828099773</v>
      </c>
      <c r="L58" s="169">
        <v>329.15513353546015</v>
      </c>
      <c r="M58" s="169">
        <v>261.06476298826567</v>
      </c>
      <c r="N58" s="1"/>
      <c r="P58" s="155">
        <v>111.68512729668882</v>
      </c>
      <c r="Q58" s="169">
        <v>105.80405095618812</v>
      </c>
      <c r="R58" s="169">
        <v>100</v>
      </c>
      <c r="S58" s="169">
        <v>97.181550297720563</v>
      </c>
      <c r="T58" s="169">
        <v>90.681087813690482</v>
      </c>
      <c r="U58" s="155">
        <v>71.922428926811278</v>
      </c>
      <c r="V58" s="8"/>
      <c r="W58" s="8"/>
      <c r="AF58" s="1"/>
      <c r="AG58" s="5"/>
    </row>
    <row r="59" spans="1:33" ht="11.25" customHeight="1" x14ac:dyDescent="0.2">
      <c r="A59" s="136" t="s">
        <v>262</v>
      </c>
      <c r="B59" s="152" t="s">
        <v>53</v>
      </c>
      <c r="C59" s="165" t="s">
        <v>35</v>
      </c>
      <c r="D59" s="171">
        <v>139.90082830777254</v>
      </c>
      <c r="E59" s="171">
        <v>153.31969681196401</v>
      </c>
      <c r="F59" s="172">
        <v>109.59170053995022</v>
      </c>
      <c r="G59" s="8"/>
      <c r="H59" s="171">
        <v>175.73989173986243</v>
      </c>
      <c r="I59" s="171">
        <v>164.5741127183945</v>
      </c>
      <c r="J59" s="171">
        <v>153.31969681196401</v>
      </c>
      <c r="K59" s="171">
        <v>147.86732848654719</v>
      </c>
      <c r="L59" s="171">
        <v>135.7707302760729</v>
      </c>
      <c r="M59" s="171">
        <v>98.116487823961052</v>
      </c>
      <c r="P59" s="156">
        <v>114.62316675162438</v>
      </c>
      <c r="Q59" s="171">
        <v>107.34048927857798</v>
      </c>
      <c r="R59" s="171">
        <v>100</v>
      </c>
      <c r="S59" s="171">
        <v>96.443791346584931</v>
      </c>
      <c r="T59" s="171">
        <v>88.554003888089014</v>
      </c>
      <c r="U59" s="156">
        <v>63.994705092780166</v>
      </c>
      <c r="V59" s="4"/>
      <c r="W59" s="4"/>
      <c r="AG59" s="5"/>
    </row>
    <row r="60" spans="1:33" s="9" customFormat="1" ht="11.25" customHeight="1" x14ac:dyDescent="0.2">
      <c r="A60" s="136" t="s">
        <v>262</v>
      </c>
      <c r="B60" s="151" t="s">
        <v>52</v>
      </c>
      <c r="C60" s="168" t="s">
        <v>35</v>
      </c>
      <c r="D60" s="169">
        <v>2008.7806554946192</v>
      </c>
      <c r="E60" s="169">
        <v>2101.9685243427698</v>
      </c>
      <c r="F60" s="170">
        <v>104.63902659522601</v>
      </c>
      <c r="G60" s="8"/>
      <c r="H60" s="169">
        <v>2339.9592906948196</v>
      </c>
      <c r="I60" s="169">
        <v>2223.0888041791623</v>
      </c>
      <c r="J60" s="169">
        <v>2101.9685243427698</v>
      </c>
      <c r="K60" s="169">
        <v>2007.1654406264645</v>
      </c>
      <c r="L60" s="169">
        <v>1876.778389033454</v>
      </c>
      <c r="M60" s="169">
        <v>1908.6217194243416</v>
      </c>
      <c r="N60" s="1"/>
      <c r="P60" s="155">
        <v>111.32228021475552</v>
      </c>
      <c r="Q60" s="169">
        <v>105.76223090087724</v>
      </c>
      <c r="R60" s="169">
        <v>100</v>
      </c>
      <c r="S60" s="169">
        <v>95.489795274363217</v>
      </c>
      <c r="T60" s="169">
        <v>89.286702788295713</v>
      </c>
      <c r="U60" s="155">
        <v>90.801631771394739</v>
      </c>
      <c r="V60" s="8"/>
      <c r="W60" s="8"/>
      <c r="X60" s="1"/>
      <c r="Y60" s="1"/>
      <c r="Z60" s="1"/>
      <c r="AA60" s="1"/>
      <c r="AB60" s="1"/>
      <c r="AC60" s="1"/>
      <c r="AD60" s="1"/>
      <c r="AE60" s="1"/>
      <c r="AF60" s="1"/>
      <c r="AG60" s="5"/>
    </row>
    <row r="61" spans="1:33" ht="11.25" customHeight="1" x14ac:dyDescent="0.25">
      <c r="A61" s="136" t="s">
        <v>262</v>
      </c>
      <c r="B61" s="152" t="s">
        <v>5</v>
      </c>
      <c r="C61" s="165" t="s">
        <v>35</v>
      </c>
      <c r="D61" s="171">
        <v>285.03286042066395</v>
      </c>
      <c r="E61" s="171">
        <v>294.30676246734066</v>
      </c>
      <c r="F61" s="172">
        <v>103.25362557600899</v>
      </c>
      <c r="G61" s="8"/>
      <c r="H61" s="171">
        <v>353.24577272569672</v>
      </c>
      <c r="I61" s="171">
        <v>328.04166673274983</v>
      </c>
      <c r="J61" s="171">
        <v>294.30676246734066</v>
      </c>
      <c r="K61" s="171">
        <v>269.10265647439371</v>
      </c>
      <c r="L61" s="171">
        <v>243.89855048144682</v>
      </c>
      <c r="M61" s="171">
        <v>304.74089777815425</v>
      </c>
      <c r="P61" s="156">
        <v>120.02638667363159</v>
      </c>
      <c r="Q61" s="171">
        <v>111.46249715181204</v>
      </c>
      <c r="R61" s="171">
        <v>100</v>
      </c>
      <c r="S61" s="171">
        <v>91.436110478180439</v>
      </c>
      <c r="T61" s="171">
        <v>82.872220956360906</v>
      </c>
      <c r="U61" s="156">
        <v>103.5453263877929</v>
      </c>
      <c r="V61" s="4"/>
      <c r="W61" s="4"/>
      <c r="X61" s="339" t="s">
        <v>176</v>
      </c>
      <c r="Y61" s="340"/>
      <c r="Z61" s="340"/>
      <c r="AA61" s="340"/>
      <c r="AB61" s="340"/>
      <c r="AC61" s="340"/>
      <c r="AD61" s="340"/>
      <c r="AE61" s="340"/>
      <c r="AF61" s="340"/>
      <c r="AG61" s="5"/>
    </row>
    <row r="62" spans="1:33" ht="11.25" customHeight="1" x14ac:dyDescent="0.25">
      <c r="A62" s="136" t="s">
        <v>262</v>
      </c>
      <c r="B62" s="152" t="s">
        <v>51</v>
      </c>
      <c r="C62" s="165" t="s">
        <v>35</v>
      </c>
      <c r="D62" s="171">
        <v>1723.7477950739553</v>
      </c>
      <c r="E62" s="171">
        <v>1807.6617618754292</v>
      </c>
      <c r="F62" s="172">
        <v>104.86811162522029</v>
      </c>
      <c r="G62" s="8"/>
      <c r="H62" s="171">
        <v>1986.7135179691229</v>
      </c>
      <c r="I62" s="171">
        <v>1895.0471374464123</v>
      </c>
      <c r="J62" s="171">
        <v>1807.6617618754292</v>
      </c>
      <c r="K62" s="171">
        <v>1738.0627841520709</v>
      </c>
      <c r="L62" s="171">
        <v>1632.8798385520072</v>
      </c>
      <c r="M62" s="171">
        <v>1603.8808216461873</v>
      </c>
      <c r="P62" s="156">
        <v>109.90515813688117</v>
      </c>
      <c r="Q62" s="171">
        <v>104.83416629227813</v>
      </c>
      <c r="R62" s="171">
        <v>100</v>
      </c>
      <c r="S62" s="171">
        <v>96.149778725686488</v>
      </c>
      <c r="T62" s="171">
        <v>90.331049369430289</v>
      </c>
      <c r="U62" s="156">
        <v>88.726821326473086</v>
      </c>
      <c r="V62" s="4"/>
      <c r="W62" s="4"/>
      <c r="X62" s="192" t="s">
        <v>260</v>
      </c>
      <c r="AG62" s="5"/>
    </row>
    <row r="63" spans="1:33" ht="11.25" customHeight="1" x14ac:dyDescent="0.2">
      <c r="A63" s="136" t="s">
        <v>262</v>
      </c>
      <c r="B63" s="152" t="s">
        <v>50</v>
      </c>
      <c r="C63" s="165" t="s">
        <v>35</v>
      </c>
      <c r="D63" s="171">
        <v>383.36434006296395</v>
      </c>
      <c r="E63" s="171">
        <v>202.77999999999994</v>
      </c>
      <c r="F63" s="172">
        <v>52.894851922506739</v>
      </c>
      <c r="G63" s="8"/>
      <c r="H63" s="171">
        <v>202.77999999999994</v>
      </c>
      <c r="I63" s="171">
        <v>202.77999999999994</v>
      </c>
      <c r="J63" s="171">
        <v>202.77999999999994</v>
      </c>
      <c r="K63" s="171">
        <v>202.77999999999994</v>
      </c>
      <c r="L63" s="171">
        <v>202.77999999999994</v>
      </c>
      <c r="M63" s="171">
        <v>202.77999999999994</v>
      </c>
      <c r="P63" s="156">
        <v>100</v>
      </c>
      <c r="Q63" s="171">
        <v>100</v>
      </c>
      <c r="R63" s="171">
        <v>100</v>
      </c>
      <c r="S63" s="171">
        <v>100</v>
      </c>
      <c r="T63" s="171">
        <v>100</v>
      </c>
      <c r="U63" s="156">
        <v>100</v>
      </c>
      <c r="V63" s="4"/>
      <c r="W63" s="4"/>
      <c r="AG63" s="5"/>
    </row>
    <row r="64" spans="1:33" ht="11.25" customHeight="1" x14ac:dyDescent="0.2">
      <c r="A64" s="136" t="s">
        <v>262</v>
      </c>
      <c r="B64" s="151" t="s">
        <v>49</v>
      </c>
      <c r="C64" s="168" t="s">
        <v>35</v>
      </c>
      <c r="D64" s="169">
        <v>1340.3834550109914</v>
      </c>
      <c r="E64" s="169">
        <v>1604.8817618754292</v>
      </c>
      <c r="F64" s="170">
        <v>119.7330328030846</v>
      </c>
      <c r="G64" s="8"/>
      <c r="H64" s="169">
        <v>1783.9335179691229</v>
      </c>
      <c r="I64" s="169">
        <v>1692.2671374464123</v>
      </c>
      <c r="J64" s="169">
        <v>1604.8817618754292</v>
      </c>
      <c r="K64" s="169">
        <v>1535.2827841520709</v>
      </c>
      <c r="L64" s="169">
        <v>1430.0998385520072</v>
      </c>
      <c r="M64" s="169">
        <v>1401.1008216461873</v>
      </c>
      <c r="N64" s="9"/>
      <c r="O64" s="9"/>
      <c r="P64" s="155">
        <v>111.15669455203093</v>
      </c>
      <c r="Q64" s="169">
        <v>105.44497281026277</v>
      </c>
      <c r="R64" s="169">
        <v>100</v>
      </c>
      <c r="S64" s="169">
        <v>95.663295616119001</v>
      </c>
      <c r="T64" s="169">
        <v>89.109358242118986</v>
      </c>
      <c r="U64" s="155">
        <v>87.302432797846237</v>
      </c>
      <c r="V64" s="4"/>
      <c r="W64" s="4"/>
      <c r="AG64" s="5"/>
    </row>
    <row r="65" spans="1:33" s="16" customFormat="1" ht="11.25" customHeight="1" x14ac:dyDescent="0.2">
      <c r="A65" s="136" t="s">
        <v>262</v>
      </c>
      <c r="B65" s="153" t="s">
        <v>48</v>
      </c>
      <c r="C65" s="173" t="s">
        <v>46</v>
      </c>
      <c r="D65" s="174">
        <v>0.24370608272927116</v>
      </c>
      <c r="E65" s="174">
        <v>0.29179668397735076</v>
      </c>
      <c r="F65" s="170">
        <v>119.7330328030846</v>
      </c>
      <c r="G65" s="14"/>
      <c r="H65" s="174">
        <v>0.27445131045678817</v>
      </c>
      <c r="I65" s="174">
        <v>0.28204452290773541</v>
      </c>
      <c r="J65" s="174">
        <v>0.29179668397735076</v>
      </c>
      <c r="K65" s="174">
        <v>0.30705655683041416</v>
      </c>
      <c r="L65" s="174">
        <v>0.31779996412266825</v>
      </c>
      <c r="M65" s="174">
        <v>0.25474560393567042</v>
      </c>
      <c r="P65" s="157">
        <v>94.055664620949244</v>
      </c>
      <c r="Q65" s="183">
        <v>96.657891742740873</v>
      </c>
      <c r="R65" s="183">
        <v>100</v>
      </c>
      <c r="S65" s="183">
        <v>105.22962517773091</v>
      </c>
      <c r="T65" s="183">
        <v>108.91143785147877</v>
      </c>
      <c r="U65" s="157">
        <v>87.302432797846237</v>
      </c>
      <c r="V65" s="4"/>
      <c r="W65" s="73"/>
      <c r="X65" s="1"/>
      <c r="Y65" s="1"/>
      <c r="Z65" s="1"/>
      <c r="AA65" s="1"/>
      <c r="AB65" s="1"/>
      <c r="AC65" s="1"/>
      <c r="AD65" s="1"/>
      <c r="AE65" s="1"/>
      <c r="AF65" s="1"/>
      <c r="AG65" s="5"/>
    </row>
    <row r="66" spans="1:33" s="16" customFormat="1" ht="11.25" customHeight="1" x14ac:dyDescent="0.2">
      <c r="A66" s="136" t="s">
        <v>262</v>
      </c>
      <c r="B66" s="16" t="s">
        <v>47</v>
      </c>
      <c r="C66" s="175" t="s">
        <v>46</v>
      </c>
      <c r="D66" s="221">
        <v>0.28000000000000003</v>
      </c>
      <c r="E66" s="221">
        <v>0.14299999999999999</v>
      </c>
      <c r="F66" s="164">
        <v>51.071428571428569</v>
      </c>
      <c r="G66" s="14"/>
      <c r="H66" s="221">
        <v>0.14299999999999999</v>
      </c>
      <c r="I66" s="221">
        <v>0.14299999999999999</v>
      </c>
      <c r="J66" s="221">
        <v>0.14299999999999999</v>
      </c>
      <c r="K66" s="221">
        <v>0.14299999999999999</v>
      </c>
      <c r="L66" s="221">
        <v>0.14299999999999999</v>
      </c>
      <c r="M66" s="221">
        <v>0.14299999999999999</v>
      </c>
      <c r="P66" s="73">
        <v>100</v>
      </c>
      <c r="Q66" s="184">
        <v>100</v>
      </c>
      <c r="R66" s="184">
        <v>100</v>
      </c>
      <c r="S66" s="184">
        <v>100</v>
      </c>
      <c r="T66" s="184">
        <v>100</v>
      </c>
      <c r="U66" s="73">
        <v>100</v>
      </c>
      <c r="V66" s="4"/>
      <c r="W66" s="73"/>
      <c r="X66" s="1"/>
      <c r="Y66" s="1"/>
      <c r="Z66" s="1"/>
      <c r="AA66" s="1"/>
      <c r="AB66" s="1"/>
      <c r="AC66" s="1"/>
      <c r="AD66" s="1"/>
      <c r="AE66" s="1"/>
      <c r="AF66" s="1"/>
      <c r="AG66" s="5"/>
    </row>
    <row r="67" spans="1:33" s="9" customFormat="1" ht="11.25" customHeight="1" x14ac:dyDescent="0.2">
      <c r="A67" s="136" t="s">
        <v>262</v>
      </c>
      <c r="B67" s="9" t="s">
        <v>45</v>
      </c>
      <c r="C67" s="159" t="s">
        <v>35</v>
      </c>
      <c r="D67" s="163">
        <v>2208.3972004836282</v>
      </c>
      <c r="E67" s="163">
        <v>1283.5867624673406</v>
      </c>
      <c r="F67" s="164">
        <v>58.123002609595829</v>
      </c>
      <c r="G67" s="8"/>
      <c r="H67" s="163">
        <v>1485.5257727256965</v>
      </c>
      <c r="I67" s="163">
        <v>1388.8216667327497</v>
      </c>
      <c r="J67" s="163">
        <v>1283.5867624673406</v>
      </c>
      <c r="K67" s="163">
        <v>1186.8826564743936</v>
      </c>
      <c r="L67" s="163">
        <v>1090.1785504814468</v>
      </c>
      <c r="M67" s="163">
        <v>1294.0208977781542</v>
      </c>
      <c r="N67" s="1"/>
      <c r="P67" s="8">
        <v>115.73240050171474</v>
      </c>
      <c r="Q67" s="163">
        <v>108.19850339240989</v>
      </c>
      <c r="R67" s="163">
        <v>100</v>
      </c>
      <c r="S67" s="163">
        <v>92.466102890695126</v>
      </c>
      <c r="T67" s="163">
        <v>84.932205781390266</v>
      </c>
      <c r="U67" s="8">
        <v>100.81288897766107</v>
      </c>
      <c r="V67" s="8"/>
      <c r="W67" s="8"/>
      <c r="X67" s="1"/>
      <c r="Y67" s="1"/>
      <c r="Z67" s="1"/>
      <c r="AA67" s="1"/>
      <c r="AB67" s="1"/>
      <c r="AC67" s="1"/>
      <c r="AD67" s="1"/>
      <c r="AE67" s="1"/>
      <c r="AF67" s="1"/>
      <c r="AG67" s="5"/>
    </row>
    <row r="68" spans="1:33" ht="11.25" customHeight="1" x14ac:dyDescent="0.2">
      <c r="A68" s="136" t="s">
        <v>262</v>
      </c>
      <c r="B68" s="1" t="s">
        <v>44</v>
      </c>
      <c r="C68" s="162" t="s">
        <v>35</v>
      </c>
      <c r="D68" s="177">
        <v>0</v>
      </c>
      <c r="E68" s="177">
        <v>0</v>
      </c>
      <c r="F68" s="164"/>
      <c r="G68" s="8"/>
      <c r="H68" s="177">
        <v>0</v>
      </c>
      <c r="I68" s="177">
        <v>0</v>
      </c>
      <c r="J68" s="177">
        <v>0</v>
      </c>
      <c r="K68" s="177">
        <v>0</v>
      </c>
      <c r="L68" s="177">
        <v>0</v>
      </c>
      <c r="M68" s="177">
        <v>0</v>
      </c>
      <c r="P68" s="4"/>
      <c r="Q68" s="177"/>
      <c r="R68" s="177"/>
      <c r="S68" s="177"/>
      <c r="T68" s="177"/>
      <c r="U68" s="4"/>
      <c r="V68" s="4"/>
      <c r="W68" s="4"/>
      <c r="AG68" s="5"/>
    </row>
    <row r="69" spans="1:33" ht="11.25" customHeight="1" x14ac:dyDescent="0.2">
      <c r="A69" s="136" t="s">
        <v>262</v>
      </c>
      <c r="B69" s="151" t="s">
        <v>43</v>
      </c>
      <c r="C69" s="165"/>
      <c r="D69" s="171"/>
      <c r="E69" s="171"/>
      <c r="F69" s="170"/>
      <c r="G69" s="8"/>
      <c r="H69" s="171"/>
      <c r="I69" s="171"/>
      <c r="J69" s="171"/>
      <c r="K69" s="171"/>
      <c r="L69" s="171"/>
      <c r="M69" s="171"/>
      <c r="P69" s="156"/>
      <c r="Q69" s="171"/>
      <c r="R69" s="171"/>
      <c r="S69" s="171"/>
      <c r="T69" s="171"/>
      <c r="U69" s="156"/>
      <c r="V69" s="4"/>
      <c r="W69" s="4"/>
      <c r="AG69" s="5"/>
    </row>
    <row r="70" spans="1:33" ht="11.25" customHeight="1" x14ac:dyDescent="0.2">
      <c r="A70" s="136" t="s">
        <v>262</v>
      </c>
      <c r="B70" s="152" t="s">
        <v>42</v>
      </c>
      <c r="C70" s="165" t="s">
        <v>35</v>
      </c>
      <c r="D70" s="171">
        <v>2208.3972004836282</v>
      </c>
      <c r="E70" s="171">
        <v>1283.5867624673406</v>
      </c>
      <c r="F70" s="172">
        <v>58.123002609595829</v>
      </c>
      <c r="G70" s="8"/>
      <c r="H70" s="171">
        <v>1485.5257727256965</v>
      </c>
      <c r="I70" s="171">
        <v>1388.8216667327497</v>
      </c>
      <c r="J70" s="171">
        <v>1283.5867624673406</v>
      </c>
      <c r="K70" s="171">
        <v>1186.8826564743936</v>
      </c>
      <c r="L70" s="171">
        <v>1090.1785504814468</v>
      </c>
      <c r="M70" s="171">
        <v>1294.0208977781542</v>
      </c>
      <c r="P70" s="156">
        <v>115.73240050171474</v>
      </c>
      <c r="Q70" s="171">
        <v>108.19850339240989</v>
      </c>
      <c r="R70" s="171">
        <v>100</v>
      </c>
      <c r="S70" s="171">
        <v>92.466102890695126</v>
      </c>
      <c r="T70" s="171">
        <v>84.932205781390266</v>
      </c>
      <c r="U70" s="156">
        <v>100.81288897766107</v>
      </c>
      <c r="V70" s="4"/>
      <c r="W70" s="4"/>
      <c r="AG70" s="5"/>
    </row>
    <row r="71" spans="1:33" ht="11.25" customHeight="1" x14ac:dyDescent="0.2">
      <c r="A71" s="136" t="s">
        <v>262</v>
      </c>
      <c r="B71" s="152" t="s">
        <v>41</v>
      </c>
      <c r="C71" s="165" t="s">
        <v>35</v>
      </c>
      <c r="D71" s="171">
        <v>2008.7806554946187</v>
      </c>
      <c r="E71" s="171">
        <v>2101.9685243427698</v>
      </c>
      <c r="F71" s="172">
        <v>104.63902659522604</v>
      </c>
      <c r="G71" s="8"/>
      <c r="H71" s="171">
        <v>2339.9592906948201</v>
      </c>
      <c r="I71" s="171">
        <v>2223.0888041791623</v>
      </c>
      <c r="J71" s="171">
        <v>2101.9685243427698</v>
      </c>
      <c r="K71" s="171">
        <v>2007.1654406264643</v>
      </c>
      <c r="L71" s="171">
        <v>1876.7783890334549</v>
      </c>
      <c r="M71" s="171">
        <v>1908.6217194243422</v>
      </c>
      <c r="P71" s="156">
        <v>111.32228021475554</v>
      </c>
      <c r="Q71" s="171">
        <v>105.76223090087724</v>
      </c>
      <c r="R71" s="171">
        <v>100</v>
      </c>
      <c r="S71" s="171">
        <v>95.489795274363203</v>
      </c>
      <c r="T71" s="171">
        <v>89.286702788295756</v>
      </c>
      <c r="U71" s="156">
        <v>90.801631771394767</v>
      </c>
      <c r="V71" s="4"/>
      <c r="W71" s="4"/>
      <c r="AG71" s="5"/>
    </row>
    <row r="72" spans="1:33" ht="11.25" customHeight="1" x14ac:dyDescent="0.2">
      <c r="A72" s="136" t="s">
        <v>262</v>
      </c>
      <c r="B72" s="152" t="s">
        <v>40</v>
      </c>
      <c r="C72" s="165" t="s">
        <v>35</v>
      </c>
      <c r="D72" s="171">
        <v>1497.2431567645615</v>
      </c>
      <c r="E72" s="171">
        <v>1554.682467820566</v>
      </c>
      <c r="F72" s="172">
        <v>103.83633819239668</v>
      </c>
      <c r="G72" s="8"/>
      <c r="H72" s="171">
        <v>1729.7210435869331</v>
      </c>
      <c r="I72" s="171">
        <v>1644.7585056506966</v>
      </c>
      <c r="J72" s="171">
        <v>1554.682467820566</v>
      </c>
      <c r="K72" s="171">
        <v>1472.6042224488267</v>
      </c>
      <c r="L72" s="171">
        <v>1377.92506749924</v>
      </c>
      <c r="M72" s="171">
        <v>1507.3823916041022</v>
      </c>
      <c r="P72" s="156">
        <v>111.25879910460077</v>
      </c>
      <c r="Q72" s="171">
        <v>105.79385435254854</v>
      </c>
      <c r="R72" s="171">
        <v>100</v>
      </c>
      <c r="S72" s="171">
        <v>94.720578184251295</v>
      </c>
      <c r="T72" s="171">
        <v>88.630642978233766</v>
      </c>
      <c r="U72" s="156">
        <v>96.957573189670583</v>
      </c>
      <c r="V72" s="4"/>
      <c r="W72" s="4"/>
      <c r="AG72" s="5"/>
    </row>
    <row r="73" spans="1:33" ht="11.25" customHeight="1" x14ac:dyDescent="0.2">
      <c r="A73" s="136" t="s">
        <v>262</v>
      </c>
      <c r="B73" s="152" t="s">
        <v>39</v>
      </c>
      <c r="C73" s="165" t="s">
        <v>35</v>
      </c>
      <c r="D73" s="171">
        <v>135.39128513038943</v>
      </c>
      <c r="E73" s="171">
        <v>140.57185160216687</v>
      </c>
      <c r="F73" s="172">
        <v>103.8263662737142</v>
      </c>
      <c r="G73" s="8"/>
      <c r="H73" s="171">
        <v>155.7898245658682</v>
      </c>
      <c r="I73" s="171">
        <v>147.93977736808634</v>
      </c>
      <c r="J73" s="171">
        <v>140.57185160216687</v>
      </c>
      <c r="K73" s="171">
        <v>138.73588551951207</v>
      </c>
      <c r="L73" s="171">
        <v>129.80231737435608</v>
      </c>
      <c r="M73" s="171">
        <v>112.74761603362519</v>
      </c>
      <c r="P73" s="156">
        <v>110.82576119632385</v>
      </c>
      <c r="Q73" s="171">
        <v>105.24139483256683</v>
      </c>
      <c r="R73" s="171">
        <v>100</v>
      </c>
      <c r="S73" s="171">
        <v>98.693930497656964</v>
      </c>
      <c r="T73" s="171">
        <v>92.338769031591255</v>
      </c>
      <c r="U73" s="156">
        <v>80.206396051972632</v>
      </c>
      <c r="V73" s="4"/>
      <c r="W73" s="4"/>
      <c r="AG73" s="5"/>
    </row>
    <row r="74" spans="1:33" s="9" customFormat="1" ht="11.25" customHeight="1" x14ac:dyDescent="0.2">
      <c r="A74" s="136" t="s">
        <v>262</v>
      </c>
      <c r="B74" s="151" t="s">
        <v>38</v>
      </c>
      <c r="C74" s="168" t="s">
        <v>35</v>
      </c>
      <c r="D74" s="169">
        <v>376.14621359966782</v>
      </c>
      <c r="E74" s="169">
        <v>406.71420492003693</v>
      </c>
      <c r="F74" s="170">
        <v>108.12662475791997</v>
      </c>
      <c r="G74" s="8"/>
      <c r="H74" s="169">
        <v>454.44842254201876</v>
      </c>
      <c r="I74" s="169">
        <v>430.39052116037931</v>
      </c>
      <c r="J74" s="169">
        <v>406.71420492003693</v>
      </c>
      <c r="K74" s="169">
        <v>395.82533265812549</v>
      </c>
      <c r="L74" s="169">
        <v>369.05100415985885</v>
      </c>
      <c r="M74" s="169">
        <v>288.49171178661487</v>
      </c>
      <c r="N74" s="1"/>
      <c r="P74" s="155">
        <v>111.73655039448813</v>
      </c>
      <c r="Q74" s="169">
        <v>105.82136447508572</v>
      </c>
      <c r="R74" s="169">
        <v>100</v>
      </c>
      <c r="S74" s="169">
        <v>97.322721426941001</v>
      </c>
      <c r="T74" s="169">
        <v>90.739639701646766</v>
      </c>
      <c r="U74" s="155">
        <v>70.932293068872411</v>
      </c>
      <c r="V74" s="8"/>
      <c r="W74" s="8"/>
      <c r="X74" s="1"/>
      <c r="Y74" s="1"/>
      <c r="Z74" s="1"/>
      <c r="AA74" s="1"/>
      <c r="AB74" s="1"/>
      <c r="AC74" s="1"/>
      <c r="AD74" s="1"/>
      <c r="AE74" s="1"/>
      <c r="AF74" s="1"/>
      <c r="AG74" s="5"/>
    </row>
    <row r="75" spans="1:33" ht="11.25" customHeight="1" x14ac:dyDescent="0.2">
      <c r="A75" s="136" t="s">
        <v>262</v>
      </c>
      <c r="B75" s="152" t="s">
        <v>37</v>
      </c>
      <c r="C75" s="165" t="s">
        <v>35</v>
      </c>
      <c r="D75" s="171">
        <v>711.15404371906675</v>
      </c>
      <c r="E75" s="171">
        <v>-271.09570535322541</v>
      </c>
      <c r="F75" s="172"/>
      <c r="G75" s="8"/>
      <c r="H75" s="171">
        <v>-244.19527086123662</v>
      </c>
      <c r="I75" s="171">
        <v>-255.93683891794694</v>
      </c>
      <c r="J75" s="171">
        <v>-271.09570535322541</v>
      </c>
      <c r="K75" s="171">
        <v>-285.72156597443313</v>
      </c>
      <c r="L75" s="171">
        <v>-287.74651701779317</v>
      </c>
      <c r="M75" s="171">
        <v>-213.36149382594795</v>
      </c>
      <c r="P75" s="156"/>
      <c r="Q75" s="171"/>
      <c r="R75" s="171"/>
      <c r="S75" s="171"/>
      <c r="T75" s="171"/>
      <c r="U75" s="156"/>
      <c r="V75" s="4"/>
      <c r="W75" s="4"/>
      <c r="AG75" s="5"/>
    </row>
    <row r="76" spans="1:33" s="9" customFormat="1" ht="11.25" customHeight="1" x14ac:dyDescent="0.2">
      <c r="A76" s="136" t="s">
        <v>262</v>
      </c>
      <c r="B76" s="151" t="s">
        <v>36</v>
      </c>
      <c r="C76" s="168" t="s">
        <v>35</v>
      </c>
      <c r="D76" s="169">
        <v>575.76275858867734</v>
      </c>
      <c r="E76" s="169">
        <v>-411.66755695539229</v>
      </c>
      <c r="F76" s="170"/>
      <c r="G76" s="8"/>
      <c r="H76" s="169">
        <v>-399.98509542710485</v>
      </c>
      <c r="I76" s="169">
        <v>-403.87661628603325</v>
      </c>
      <c r="J76" s="169">
        <v>-411.66755695539229</v>
      </c>
      <c r="K76" s="169">
        <v>-424.4574514939452</v>
      </c>
      <c r="L76" s="169">
        <v>-417.54883439214927</v>
      </c>
      <c r="M76" s="169">
        <v>-326.10910985957315</v>
      </c>
      <c r="N76" s="1"/>
      <c r="P76" s="155"/>
      <c r="Q76" s="169"/>
      <c r="R76" s="169"/>
      <c r="S76" s="169"/>
      <c r="T76" s="169"/>
      <c r="U76" s="155"/>
      <c r="V76" s="8"/>
      <c r="W76" s="8"/>
      <c r="AF76" s="1"/>
      <c r="AG76" s="5"/>
    </row>
    <row r="77" spans="1:33" ht="11.25" customHeight="1" x14ac:dyDescent="0.25">
      <c r="A77" s="136" t="s">
        <v>262</v>
      </c>
      <c r="B77" s="152" t="s">
        <v>34</v>
      </c>
      <c r="C77" s="167" t="s">
        <v>33</v>
      </c>
      <c r="D77" s="171">
        <v>27.016589324122247</v>
      </c>
      <c r="E77" s="171">
        <v>-19.329573679739184</v>
      </c>
      <c r="F77" s="172"/>
      <c r="G77" s="8"/>
      <c r="H77" s="171">
        <v>-16.431992711647453</v>
      </c>
      <c r="I77" s="171">
        <v>-17.697122207571162</v>
      </c>
      <c r="J77" s="171">
        <v>-19.329573679739184</v>
      </c>
      <c r="K77" s="171">
        <v>-20.606643897755685</v>
      </c>
      <c r="L77" s="171">
        <v>-22.051237740894944</v>
      </c>
      <c r="M77" s="171">
        <v>-23.991285565242144</v>
      </c>
      <c r="P77" s="156"/>
      <c r="Q77" s="171"/>
      <c r="R77" s="171"/>
      <c r="S77" s="171"/>
      <c r="T77" s="171"/>
      <c r="U77" s="156"/>
      <c r="V77" s="4"/>
      <c r="W77" s="4"/>
      <c r="X77" s="339" t="s">
        <v>191</v>
      </c>
      <c r="Y77" s="340"/>
      <c r="Z77" s="340"/>
      <c r="AA77" s="340"/>
      <c r="AB77" s="340"/>
      <c r="AC77" s="340"/>
      <c r="AD77" s="340"/>
      <c r="AE77" s="340"/>
      <c r="AF77" s="340"/>
      <c r="AG77" s="5"/>
    </row>
    <row r="78" spans="1:33" ht="11.25" customHeight="1" x14ac:dyDescent="0.25">
      <c r="A78" s="136" t="s">
        <v>262</v>
      </c>
      <c r="C78" s="19"/>
      <c r="D78" s="35">
        <v>4.8090601248079706E-2</v>
      </c>
      <c r="E78" s="35">
        <v>0</v>
      </c>
      <c r="F78" s="36"/>
      <c r="G78" s="36"/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/>
      <c r="P78" s="4"/>
      <c r="Q78" s="4"/>
      <c r="R78" s="4"/>
      <c r="S78" s="4"/>
      <c r="T78" s="4"/>
      <c r="U78" s="4"/>
      <c r="V78" s="4"/>
      <c r="W78" s="4"/>
      <c r="X78" s="192" t="s">
        <v>261</v>
      </c>
      <c r="AG78" s="5"/>
    </row>
    <row r="79" spans="1:33" ht="15" customHeight="1" x14ac:dyDescent="0.25">
      <c r="A79" s="136" t="s">
        <v>263</v>
      </c>
      <c r="B79" s="144" t="s">
        <v>148</v>
      </c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36"/>
    </row>
    <row r="80" spans="1:33" ht="14.25" customHeight="1" x14ac:dyDescent="0.25">
      <c r="A80" s="136" t="s">
        <v>263</v>
      </c>
      <c r="B80" s="144" t="s">
        <v>149</v>
      </c>
      <c r="C80" s="140"/>
      <c r="D80" s="143" t="s">
        <v>120</v>
      </c>
      <c r="E80" s="143" t="s">
        <v>120</v>
      </c>
      <c r="F80" s="143"/>
      <c r="G80" s="143"/>
      <c r="H80" s="143" t="s">
        <v>141</v>
      </c>
      <c r="I80" s="143" t="s">
        <v>142</v>
      </c>
      <c r="J80" s="143" t="s">
        <v>150</v>
      </c>
      <c r="K80" s="143" t="s">
        <v>172</v>
      </c>
      <c r="L80" s="143" t="s">
        <v>173</v>
      </c>
      <c r="M80" s="143" t="s">
        <v>174</v>
      </c>
      <c r="N80" s="143"/>
      <c r="O80" s="139"/>
      <c r="P80" s="139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36"/>
    </row>
    <row r="81" spans="1:32" ht="15.75" customHeight="1" x14ac:dyDescent="0.25">
      <c r="A81" s="136" t="s">
        <v>263</v>
      </c>
      <c r="B81" s="149" t="s">
        <v>263</v>
      </c>
      <c r="C81" s="158"/>
      <c r="D81" s="185">
        <v>2022</v>
      </c>
      <c r="E81" s="185">
        <v>2023</v>
      </c>
      <c r="F81" s="341" t="s">
        <v>257</v>
      </c>
      <c r="G81" s="186"/>
      <c r="H81" s="179"/>
      <c r="I81" s="179"/>
      <c r="J81" s="179" t="s">
        <v>258</v>
      </c>
      <c r="K81" s="179"/>
      <c r="L81" s="179"/>
      <c r="M81" s="179"/>
      <c r="N81" s="142"/>
      <c r="O81" s="142"/>
      <c r="P81" s="179"/>
      <c r="Q81" s="179"/>
      <c r="R81" s="179" t="s">
        <v>166</v>
      </c>
      <c r="S81" s="179"/>
      <c r="T81" s="179"/>
      <c r="U81" s="179"/>
      <c r="V81" s="66"/>
      <c r="W81" s="66"/>
      <c r="X81" s="66"/>
      <c r="Y81" s="66"/>
      <c r="Z81" s="66"/>
      <c r="AA81" s="66"/>
      <c r="AB81" s="66"/>
      <c r="AC81" s="66"/>
      <c r="AD81" s="66"/>
    </row>
    <row r="82" spans="1:32" ht="24" customHeight="1" x14ac:dyDescent="0.25">
      <c r="A82" s="136" t="s">
        <v>263</v>
      </c>
      <c r="B82" s="150" t="s">
        <v>84</v>
      </c>
      <c r="C82" s="158" t="s">
        <v>63</v>
      </c>
      <c r="D82" s="185"/>
      <c r="E82" s="330" t="s">
        <v>259</v>
      </c>
      <c r="F82" s="342"/>
      <c r="G82" s="186"/>
      <c r="H82" s="187" t="s">
        <v>83</v>
      </c>
      <c r="I82" s="214" t="s">
        <v>82</v>
      </c>
      <c r="J82" s="185" t="s">
        <v>81</v>
      </c>
      <c r="K82" s="185" t="s">
        <v>80</v>
      </c>
      <c r="L82" s="185" t="s">
        <v>79</v>
      </c>
      <c r="M82" s="205" t="s">
        <v>78</v>
      </c>
      <c r="N82" s="191"/>
      <c r="O82" s="191"/>
      <c r="P82" s="188" t="s">
        <v>83</v>
      </c>
      <c r="Q82" s="214" t="s">
        <v>82</v>
      </c>
      <c r="R82" s="185" t="s">
        <v>81</v>
      </c>
      <c r="S82" s="185" t="s">
        <v>80</v>
      </c>
      <c r="T82" s="185" t="s">
        <v>79</v>
      </c>
      <c r="U82" s="188" t="s">
        <v>78</v>
      </c>
      <c r="V82" s="66"/>
      <c r="W82" s="66"/>
      <c r="X82" s="66"/>
      <c r="Y82" s="66"/>
      <c r="Z82" s="66"/>
      <c r="AA82" s="66"/>
      <c r="AB82" s="66"/>
      <c r="AC82" s="66"/>
      <c r="AD82" s="66"/>
    </row>
    <row r="83" spans="1:32" x14ac:dyDescent="0.2">
      <c r="A83" s="136" t="s">
        <v>263</v>
      </c>
      <c r="B83" s="9" t="s">
        <v>21</v>
      </c>
      <c r="C83" s="159" t="s">
        <v>20</v>
      </c>
      <c r="D83" s="160">
        <v>3500</v>
      </c>
      <c r="E83" s="160">
        <v>3500</v>
      </c>
      <c r="F83" s="160"/>
      <c r="G83" s="78"/>
      <c r="H83" s="178">
        <v>4000</v>
      </c>
      <c r="I83" s="178">
        <v>3500</v>
      </c>
      <c r="J83" s="178">
        <v>3000</v>
      </c>
      <c r="K83" s="178">
        <v>2500</v>
      </c>
      <c r="L83" s="178">
        <v>3000</v>
      </c>
      <c r="M83" s="178">
        <v>3500</v>
      </c>
      <c r="N83" s="2"/>
      <c r="O83" s="2"/>
      <c r="P83" s="62">
        <v>114.28571428571428</v>
      </c>
      <c r="Q83" s="180">
        <v>100</v>
      </c>
      <c r="R83" s="180">
        <v>85.714285714285708</v>
      </c>
      <c r="S83" s="180">
        <v>71.428571428571431</v>
      </c>
      <c r="T83" s="180">
        <v>85.714285714285708</v>
      </c>
      <c r="U83" s="62">
        <v>100</v>
      </c>
      <c r="V83" s="82"/>
      <c r="W83" s="82"/>
      <c r="X83" s="82"/>
      <c r="Y83" s="82"/>
      <c r="Z83" s="82"/>
      <c r="AA83" s="82"/>
      <c r="AB83" s="82"/>
      <c r="AC83" s="82"/>
      <c r="AD83" s="82"/>
    </row>
    <row r="84" spans="1:32" ht="6" customHeight="1" x14ac:dyDescent="0.2">
      <c r="A84" s="136" t="s">
        <v>263</v>
      </c>
      <c r="B84" s="9"/>
      <c r="C84" s="159"/>
      <c r="D84" s="161"/>
      <c r="E84" s="161"/>
      <c r="F84" s="160"/>
      <c r="G84" s="78"/>
      <c r="H84" s="161"/>
      <c r="I84" s="161"/>
      <c r="J84" s="161"/>
      <c r="K84" s="161"/>
      <c r="L84" s="161"/>
      <c r="M84" s="161"/>
      <c r="P84" s="82"/>
      <c r="Q84" s="181"/>
      <c r="R84" s="181"/>
      <c r="S84" s="181"/>
      <c r="T84" s="181"/>
      <c r="U84" s="82"/>
      <c r="V84" s="82"/>
      <c r="W84" s="82"/>
      <c r="X84" s="82"/>
      <c r="Y84" s="82"/>
      <c r="Z84" s="82"/>
      <c r="AA84" s="82"/>
      <c r="AB84" s="82"/>
      <c r="AC84" s="82"/>
      <c r="AD84" s="82"/>
    </row>
    <row r="85" spans="1:32" ht="6" customHeight="1" x14ac:dyDescent="0.2">
      <c r="A85" s="136" t="s">
        <v>263</v>
      </c>
      <c r="B85" s="9"/>
      <c r="C85" s="162"/>
      <c r="D85" s="161"/>
      <c r="E85" s="161"/>
      <c r="F85" s="161"/>
      <c r="G85" s="137"/>
      <c r="H85" s="161"/>
      <c r="I85" s="161"/>
      <c r="J85" s="161"/>
      <c r="K85" s="161"/>
      <c r="L85" s="161"/>
      <c r="M85" s="161"/>
      <c r="P85" s="84"/>
      <c r="Q85" s="182"/>
      <c r="R85" s="182"/>
      <c r="S85" s="182"/>
      <c r="T85" s="182"/>
      <c r="U85" s="84"/>
      <c r="V85" s="82"/>
      <c r="W85" s="82"/>
      <c r="X85" s="82"/>
      <c r="Y85" s="82"/>
      <c r="Z85" s="82"/>
      <c r="AA85" s="82"/>
      <c r="AB85" s="82"/>
      <c r="AC85" s="82"/>
      <c r="AD85" s="82"/>
    </row>
    <row r="86" spans="1:32" ht="11.25" customHeight="1" x14ac:dyDescent="0.2">
      <c r="A86" s="136" t="s">
        <v>263</v>
      </c>
      <c r="B86" s="9" t="s">
        <v>90</v>
      </c>
      <c r="C86" s="159" t="s">
        <v>89</v>
      </c>
      <c r="D86" s="163">
        <v>1</v>
      </c>
      <c r="E86" s="163">
        <v>1</v>
      </c>
      <c r="F86" s="164">
        <v>100</v>
      </c>
      <c r="G86" s="8"/>
      <c r="H86" s="163">
        <v>1</v>
      </c>
      <c r="I86" s="163">
        <v>1</v>
      </c>
      <c r="J86" s="163">
        <v>1</v>
      </c>
      <c r="K86" s="163">
        <v>1</v>
      </c>
      <c r="L86" s="163">
        <v>5</v>
      </c>
      <c r="M86" s="163">
        <v>5</v>
      </c>
      <c r="N86" s="9"/>
      <c r="O86" s="9"/>
      <c r="P86" s="84">
        <v>100</v>
      </c>
      <c r="Q86" s="182">
        <v>100</v>
      </c>
      <c r="R86" s="182">
        <v>100</v>
      </c>
      <c r="S86" s="182">
        <v>100</v>
      </c>
      <c r="T86" s="182">
        <v>500</v>
      </c>
      <c r="U86" s="84">
        <v>500</v>
      </c>
      <c r="V86" s="26"/>
      <c r="W86" s="26"/>
      <c r="X86" s="26"/>
      <c r="Y86" s="26"/>
      <c r="Z86" s="26"/>
      <c r="AA86" s="26"/>
      <c r="AB86" s="26"/>
      <c r="AC86" s="26"/>
      <c r="AD86" s="26"/>
    </row>
    <row r="87" spans="1:32" ht="11.25" customHeight="1" x14ac:dyDescent="0.2">
      <c r="A87" s="136" t="s">
        <v>263</v>
      </c>
      <c r="B87" s="151" t="s">
        <v>62</v>
      </c>
      <c r="C87" s="165"/>
      <c r="D87" s="166"/>
      <c r="E87" s="166"/>
      <c r="F87" s="167"/>
      <c r="H87" s="166"/>
      <c r="I87" s="166"/>
      <c r="J87" s="166"/>
      <c r="K87" s="166"/>
      <c r="L87" s="166"/>
      <c r="M87" s="166"/>
      <c r="P87" s="154"/>
      <c r="Q87" s="166"/>
      <c r="R87" s="166"/>
      <c r="S87" s="166"/>
      <c r="T87" s="166"/>
      <c r="U87" s="154"/>
      <c r="V87" s="76"/>
      <c r="W87" s="76"/>
      <c r="X87" s="76"/>
      <c r="Y87" s="76"/>
      <c r="Z87" s="76"/>
      <c r="AA87" s="76"/>
      <c r="AB87" s="76"/>
      <c r="AC87" s="76"/>
      <c r="AD87" s="76"/>
    </row>
    <row r="88" spans="1:32" s="9" customFormat="1" ht="11.25" customHeight="1" x14ac:dyDescent="0.2">
      <c r="A88" s="136" t="s">
        <v>263</v>
      </c>
      <c r="B88" s="151" t="s">
        <v>61</v>
      </c>
      <c r="C88" s="168" t="s">
        <v>35</v>
      </c>
      <c r="D88" s="169">
        <v>1790.4752359179677</v>
      </c>
      <c r="E88" s="169">
        <v>1916.0685997768378</v>
      </c>
      <c r="F88" s="170">
        <v>107.01452672114056</v>
      </c>
      <c r="G88" s="8"/>
      <c r="H88" s="169">
        <v>2088.1239929444237</v>
      </c>
      <c r="I88" s="169">
        <v>1916.0685997768378</v>
      </c>
      <c r="J88" s="169">
        <v>1735.5031516142956</v>
      </c>
      <c r="K88" s="169">
        <v>1543.4686611142258</v>
      </c>
      <c r="L88" s="169">
        <v>1671.3926573169733</v>
      </c>
      <c r="M88" s="169">
        <v>1850.3934902397862</v>
      </c>
      <c r="N88" s="1"/>
      <c r="P88" s="155">
        <v>108.97960507194915</v>
      </c>
      <c r="Q88" s="169">
        <v>100</v>
      </c>
      <c r="R88" s="169">
        <v>90.576253471114114</v>
      </c>
      <c r="S88" s="169">
        <v>80.553935349391551</v>
      </c>
      <c r="T88" s="169">
        <v>87.230314066606923</v>
      </c>
      <c r="U88" s="155">
        <v>96.572403016014107</v>
      </c>
      <c r="V88" s="8"/>
      <c r="W88" s="8"/>
      <c r="X88" s="8"/>
      <c r="Y88" s="8"/>
      <c r="Z88" s="8"/>
      <c r="AA88" s="8"/>
      <c r="AB88" s="8"/>
      <c r="AC88" s="8"/>
      <c r="AD88" s="8"/>
    </row>
    <row r="89" spans="1:32" ht="11.25" customHeight="1" x14ac:dyDescent="0.2">
      <c r="A89" s="136" t="s">
        <v>263</v>
      </c>
      <c r="B89" s="152" t="s">
        <v>60</v>
      </c>
      <c r="C89" s="165" t="s">
        <v>35</v>
      </c>
      <c r="D89" s="171">
        <v>82.044999999999987</v>
      </c>
      <c r="E89" s="171">
        <v>88.442083333333329</v>
      </c>
      <c r="F89" s="172">
        <v>107.79704227354907</v>
      </c>
      <c r="G89" s="8"/>
      <c r="H89" s="171">
        <v>88.442083333333329</v>
      </c>
      <c r="I89" s="171">
        <v>88.442083333333329</v>
      </c>
      <c r="J89" s="171">
        <v>88.442083333333329</v>
      </c>
      <c r="K89" s="171">
        <v>88.442083333333329</v>
      </c>
      <c r="L89" s="171">
        <v>88.442083333333329</v>
      </c>
      <c r="M89" s="171">
        <v>88.442083333333329</v>
      </c>
      <c r="P89" s="156">
        <v>100</v>
      </c>
      <c r="Q89" s="171">
        <v>100</v>
      </c>
      <c r="R89" s="171">
        <v>100</v>
      </c>
      <c r="S89" s="171">
        <v>100</v>
      </c>
      <c r="T89" s="171">
        <v>100</v>
      </c>
      <c r="U89" s="156">
        <v>100</v>
      </c>
      <c r="V89" s="4"/>
      <c r="W89" s="4"/>
      <c r="X89" s="4"/>
      <c r="Y89" s="4"/>
      <c r="Z89" s="4"/>
      <c r="AA89" s="4"/>
      <c r="AB89" s="4"/>
      <c r="AC89" s="4"/>
      <c r="AD89" s="4"/>
    </row>
    <row r="90" spans="1:32" ht="11.25" customHeight="1" x14ac:dyDescent="0.2">
      <c r="A90" s="136" t="s">
        <v>263</v>
      </c>
      <c r="B90" s="152" t="s">
        <v>59</v>
      </c>
      <c r="C90" s="165" t="s">
        <v>35</v>
      </c>
      <c r="D90" s="171">
        <v>798.84652675986672</v>
      </c>
      <c r="E90" s="171">
        <v>927.17358890206538</v>
      </c>
      <c r="F90" s="172">
        <v>116.06404457470639</v>
      </c>
      <c r="G90" s="8"/>
      <c r="H90" s="171">
        <v>1073.4940765530384</v>
      </c>
      <c r="I90" s="171">
        <v>927.17358890206538</v>
      </c>
      <c r="J90" s="171">
        <v>782.24058678976576</v>
      </c>
      <c r="K90" s="171">
        <v>637.74854668064722</v>
      </c>
      <c r="L90" s="171">
        <v>782.24058678976576</v>
      </c>
      <c r="M90" s="171">
        <v>927.17358890206538</v>
      </c>
      <c r="P90" s="156">
        <v>115.78134767883563</v>
      </c>
      <c r="Q90" s="171">
        <v>100</v>
      </c>
      <c r="R90" s="171">
        <v>84.368299113877327</v>
      </c>
      <c r="S90" s="171">
        <v>68.784158038394111</v>
      </c>
      <c r="T90" s="171">
        <v>84.368299113877327</v>
      </c>
      <c r="U90" s="156">
        <v>100</v>
      </c>
      <c r="V90" s="4"/>
      <c r="W90" s="4"/>
      <c r="X90" s="4"/>
      <c r="Y90" s="4"/>
      <c r="Z90" s="4"/>
      <c r="AA90" s="4"/>
      <c r="AB90" s="4"/>
      <c r="AC90" s="4"/>
      <c r="AD90" s="4"/>
    </row>
    <row r="91" spans="1:32" ht="11.25" customHeight="1" x14ac:dyDescent="0.2">
      <c r="A91" s="136" t="s">
        <v>263</v>
      </c>
      <c r="B91" s="152" t="s">
        <v>58</v>
      </c>
      <c r="C91" s="165" t="s">
        <v>35</v>
      </c>
      <c r="D91" s="171">
        <v>140.26530000000002</v>
      </c>
      <c r="E91" s="171">
        <v>154.01693999999998</v>
      </c>
      <c r="F91" s="172">
        <v>109.80402137948585</v>
      </c>
      <c r="G91" s="8"/>
      <c r="H91" s="171">
        <v>154.01693999999998</v>
      </c>
      <c r="I91" s="171">
        <v>154.01693999999998</v>
      </c>
      <c r="J91" s="171">
        <v>154.01693999999998</v>
      </c>
      <c r="K91" s="171">
        <v>154.01693999999998</v>
      </c>
      <c r="L91" s="171">
        <v>154.01693999999998</v>
      </c>
      <c r="M91" s="171">
        <v>154.01693999999998</v>
      </c>
      <c r="P91" s="156">
        <v>100</v>
      </c>
      <c r="Q91" s="171">
        <v>100</v>
      </c>
      <c r="R91" s="171">
        <v>100</v>
      </c>
      <c r="S91" s="171">
        <v>100</v>
      </c>
      <c r="T91" s="171">
        <v>100</v>
      </c>
      <c r="U91" s="156">
        <v>100</v>
      </c>
      <c r="V91" s="4"/>
      <c r="W91" s="4"/>
      <c r="X91" s="4"/>
      <c r="Y91" s="4"/>
      <c r="Z91" s="4"/>
      <c r="AA91" s="4"/>
      <c r="AB91" s="4"/>
      <c r="AC91" s="4"/>
      <c r="AD91" s="4"/>
    </row>
    <row r="92" spans="1:32" ht="11.25" customHeight="1" x14ac:dyDescent="0.2">
      <c r="A92" s="136" t="s">
        <v>263</v>
      </c>
      <c r="B92" s="152" t="s">
        <v>57</v>
      </c>
      <c r="C92" s="165" t="s">
        <v>35</v>
      </c>
      <c r="D92" s="171">
        <v>368.88082523510974</v>
      </c>
      <c r="E92" s="171">
        <v>363.1228722570533</v>
      </c>
      <c r="F92" s="172">
        <v>98.439075011723219</v>
      </c>
      <c r="G92" s="8"/>
      <c r="H92" s="171">
        <v>382.90503134796234</v>
      </c>
      <c r="I92" s="171">
        <v>363.1228722570533</v>
      </c>
      <c r="J92" s="171">
        <v>343.34071316614421</v>
      </c>
      <c r="K92" s="171">
        <v>323.55855407523512</v>
      </c>
      <c r="L92" s="171">
        <v>343.34071316614421</v>
      </c>
      <c r="M92" s="171">
        <v>363.1228722570533</v>
      </c>
      <c r="P92" s="156">
        <v>105.44778657646916</v>
      </c>
      <c r="Q92" s="171">
        <v>100</v>
      </c>
      <c r="R92" s="171">
        <v>94.552213423530816</v>
      </c>
      <c r="S92" s="171">
        <v>89.104426847061632</v>
      </c>
      <c r="T92" s="171">
        <v>94.552213423530816</v>
      </c>
      <c r="U92" s="156">
        <v>100</v>
      </c>
      <c r="V92" s="4"/>
      <c r="W92" s="4"/>
      <c r="X92" s="4"/>
      <c r="Y92" s="4"/>
      <c r="Z92" s="4"/>
      <c r="AA92" s="4"/>
      <c r="AB92" s="4"/>
      <c r="AC92" s="4"/>
      <c r="AD92" s="4"/>
    </row>
    <row r="93" spans="1:32" ht="11.25" customHeight="1" x14ac:dyDescent="0.2">
      <c r="A93" s="136" t="s">
        <v>263</v>
      </c>
      <c r="B93" s="152" t="s">
        <v>56</v>
      </c>
      <c r="C93" s="165" t="s">
        <v>35</v>
      </c>
      <c r="D93" s="171">
        <v>34.425000000000004</v>
      </c>
      <c r="E93" s="171">
        <v>34.425000000000004</v>
      </c>
      <c r="F93" s="172">
        <v>100</v>
      </c>
      <c r="G93" s="8"/>
      <c r="H93" s="171">
        <v>34.425000000000004</v>
      </c>
      <c r="I93" s="171">
        <v>34.425000000000004</v>
      </c>
      <c r="J93" s="171">
        <v>34.424999999999997</v>
      </c>
      <c r="K93" s="171">
        <v>28.687499999999996</v>
      </c>
      <c r="L93" s="171">
        <v>34.424999999999997</v>
      </c>
      <c r="M93" s="171">
        <v>34.425000000000004</v>
      </c>
      <c r="P93" s="156">
        <v>100</v>
      </c>
      <c r="Q93" s="171">
        <v>100</v>
      </c>
      <c r="R93" s="171">
        <v>99.999999999999972</v>
      </c>
      <c r="S93" s="171">
        <v>83.333333333333314</v>
      </c>
      <c r="T93" s="171">
        <v>99.999999999999972</v>
      </c>
      <c r="U93" s="156">
        <v>100</v>
      </c>
      <c r="V93" s="4"/>
      <c r="W93" s="4"/>
      <c r="X93" s="4"/>
      <c r="Y93" s="4"/>
      <c r="Z93" s="4"/>
      <c r="AA93" s="4"/>
      <c r="AB93" s="4"/>
      <c r="AC93" s="4"/>
      <c r="AD93" s="4"/>
    </row>
    <row r="94" spans="1:32" ht="11.25" customHeight="1" x14ac:dyDescent="0.2">
      <c r="A94" s="136" t="s">
        <v>263</v>
      </c>
      <c r="B94" s="152" t="s">
        <v>55</v>
      </c>
      <c r="C94" s="165" t="s">
        <v>35</v>
      </c>
      <c r="D94" s="171">
        <v>331.71999526447269</v>
      </c>
      <c r="E94" s="171">
        <v>319.66973061398232</v>
      </c>
      <c r="F94" s="172">
        <v>96.367338471446999</v>
      </c>
      <c r="G94" s="8"/>
      <c r="H94" s="171">
        <v>321.32719484127819</v>
      </c>
      <c r="I94" s="171">
        <v>319.66973061398232</v>
      </c>
      <c r="J94" s="171">
        <v>308.35427346640813</v>
      </c>
      <c r="K94" s="171">
        <v>290.96130731677408</v>
      </c>
      <c r="L94" s="171">
        <v>245.45029527547564</v>
      </c>
      <c r="M94" s="171">
        <v>255.24327373112573</v>
      </c>
      <c r="P94" s="156">
        <v>100.51849270311344</v>
      </c>
      <c r="Q94" s="171">
        <v>100</v>
      </c>
      <c r="R94" s="171">
        <v>96.46026631115781</v>
      </c>
      <c r="S94" s="171">
        <v>91.019348862944071</v>
      </c>
      <c r="T94" s="171">
        <v>76.782463827289774</v>
      </c>
      <c r="U94" s="156">
        <v>79.84593137451138</v>
      </c>
      <c r="V94" s="4"/>
      <c r="W94" s="4"/>
      <c r="X94" s="4"/>
      <c r="Y94" s="4"/>
      <c r="Z94" s="4"/>
      <c r="AA94" s="4"/>
      <c r="AB94" s="4"/>
      <c r="AC94" s="4"/>
      <c r="AD94" s="4"/>
    </row>
    <row r="95" spans="1:32" s="9" customFormat="1" ht="11.25" customHeight="1" x14ac:dyDescent="0.2">
      <c r="A95" s="136" t="s">
        <v>263</v>
      </c>
      <c r="B95" s="152" t="s">
        <v>26</v>
      </c>
      <c r="C95" s="165" t="s">
        <v>35</v>
      </c>
      <c r="D95" s="171">
        <v>0</v>
      </c>
      <c r="E95" s="171">
        <v>0</v>
      </c>
      <c r="F95" s="172"/>
      <c r="G95" s="8"/>
      <c r="H95" s="171">
        <v>0</v>
      </c>
      <c r="I95" s="171">
        <v>0</v>
      </c>
      <c r="J95" s="171">
        <v>0</v>
      </c>
      <c r="K95" s="171">
        <v>0</v>
      </c>
      <c r="L95" s="171">
        <v>0</v>
      </c>
      <c r="M95" s="171">
        <v>0</v>
      </c>
      <c r="N95" s="1"/>
      <c r="O95" s="1"/>
      <c r="P95" s="156"/>
      <c r="Q95" s="171"/>
      <c r="R95" s="171"/>
      <c r="S95" s="171"/>
      <c r="T95" s="171"/>
      <c r="U95" s="156"/>
      <c r="V95" s="4"/>
      <c r="W95" s="4"/>
      <c r="X95" s="4"/>
      <c r="Y95" s="4"/>
      <c r="Z95" s="4"/>
      <c r="AA95" s="4"/>
      <c r="AB95" s="4"/>
      <c r="AC95" s="4"/>
      <c r="AD95" s="4"/>
      <c r="AE95" s="1"/>
      <c r="AF95" s="1"/>
    </row>
    <row r="96" spans="1:32" s="9" customFormat="1" ht="11.25" customHeight="1" x14ac:dyDescent="0.2">
      <c r="A96" s="136" t="s">
        <v>263</v>
      </c>
      <c r="B96" s="151" t="s">
        <v>54</v>
      </c>
      <c r="C96" s="168" t="s">
        <v>35</v>
      </c>
      <c r="D96" s="169">
        <v>232.48281216262563</v>
      </c>
      <c r="E96" s="169">
        <v>263.57900403894382</v>
      </c>
      <c r="F96" s="170">
        <v>113.37569499742884</v>
      </c>
      <c r="G96" s="8"/>
      <c r="H96" s="169">
        <v>265.12419864961544</v>
      </c>
      <c r="I96" s="169">
        <v>263.57900403894382</v>
      </c>
      <c r="J96" s="169">
        <v>254.04363894176245</v>
      </c>
      <c r="K96" s="169">
        <v>241.02669233673237</v>
      </c>
      <c r="L96" s="169">
        <v>215.28675828946703</v>
      </c>
      <c r="M96" s="169">
        <v>223.5627563005703</v>
      </c>
      <c r="N96" s="1"/>
      <c r="P96" s="155">
        <v>100.58623584845299</v>
      </c>
      <c r="Q96" s="169">
        <v>100</v>
      </c>
      <c r="R96" s="169">
        <v>96.382350281673979</v>
      </c>
      <c r="S96" s="169">
        <v>91.443813294446102</v>
      </c>
      <c r="T96" s="169">
        <v>81.678265336209549</v>
      </c>
      <c r="U96" s="155">
        <v>84.818120136586785</v>
      </c>
      <c r="V96" s="8"/>
      <c r="W96" s="8"/>
      <c r="X96" s="8"/>
      <c r="Y96" s="8"/>
      <c r="Z96" s="8"/>
      <c r="AA96" s="8"/>
      <c r="AB96" s="8"/>
      <c r="AC96" s="8"/>
      <c r="AD96" s="8"/>
      <c r="AE96" s="1"/>
      <c r="AF96" s="1"/>
    </row>
    <row r="97" spans="1:32" ht="11.25" customHeight="1" x14ac:dyDescent="0.2">
      <c r="A97" s="136" t="s">
        <v>263</v>
      </c>
      <c r="B97" s="152" t="s">
        <v>53</v>
      </c>
      <c r="C97" s="165" t="s">
        <v>35</v>
      </c>
      <c r="D97" s="171">
        <v>91.646442133548945</v>
      </c>
      <c r="E97" s="171">
        <v>100.43689441851772</v>
      </c>
      <c r="F97" s="172">
        <v>109.59170053995022</v>
      </c>
      <c r="G97" s="8"/>
      <c r="H97" s="171">
        <v>101.14755376866948</v>
      </c>
      <c r="I97" s="171">
        <v>100.43689441851772</v>
      </c>
      <c r="J97" s="171">
        <v>95.585244958616656</v>
      </c>
      <c r="K97" s="171">
        <v>89.125292291393308</v>
      </c>
      <c r="L97" s="171">
        <v>76.893807323921209</v>
      </c>
      <c r="M97" s="171">
        <v>81.092674238048772</v>
      </c>
      <c r="P97" s="156">
        <v>100.70756802494355</v>
      </c>
      <c r="Q97" s="171">
        <v>100</v>
      </c>
      <c r="R97" s="171">
        <v>95.169454921929002</v>
      </c>
      <c r="S97" s="171">
        <v>88.737602658252968</v>
      </c>
      <c r="T97" s="171">
        <v>76.559323910899579</v>
      </c>
      <c r="U97" s="156">
        <v>80.739926007805323</v>
      </c>
      <c r="V97" s="4"/>
      <c r="W97" s="4"/>
      <c r="X97" s="4"/>
      <c r="Y97" s="4"/>
      <c r="Z97" s="4"/>
      <c r="AA97" s="4"/>
      <c r="AB97" s="4"/>
      <c r="AC97" s="4"/>
      <c r="AD97" s="4"/>
    </row>
    <row r="98" spans="1:32" s="9" customFormat="1" ht="11.25" customHeight="1" x14ac:dyDescent="0.2">
      <c r="A98" s="136" t="s">
        <v>263</v>
      </c>
      <c r="B98" s="151" t="s">
        <v>52</v>
      </c>
      <c r="C98" s="168" t="s">
        <v>35</v>
      </c>
      <c r="D98" s="169">
        <v>2022.9580480805932</v>
      </c>
      <c r="E98" s="169">
        <v>2179.6476038157816</v>
      </c>
      <c r="F98" s="170">
        <v>107.74556624562024</v>
      </c>
      <c r="G98" s="8"/>
      <c r="H98" s="169">
        <v>2353.2481915940389</v>
      </c>
      <c r="I98" s="169">
        <v>2179.6476038157816</v>
      </c>
      <c r="J98" s="169">
        <v>1989.5467905560581</v>
      </c>
      <c r="K98" s="169">
        <v>1784.4953534509582</v>
      </c>
      <c r="L98" s="169">
        <v>1886.6794156064404</v>
      </c>
      <c r="M98" s="169">
        <v>2073.9562465403565</v>
      </c>
      <c r="N98" s="1"/>
      <c r="P98" s="155">
        <v>107.96461719198757</v>
      </c>
      <c r="Q98" s="169">
        <v>100</v>
      </c>
      <c r="R98" s="169">
        <v>91.278369359940342</v>
      </c>
      <c r="S98" s="169">
        <v>81.87081940800644</v>
      </c>
      <c r="T98" s="169">
        <v>86.558919538348363</v>
      </c>
      <c r="U98" s="155">
        <v>95.150988761192522</v>
      </c>
      <c r="V98" s="8"/>
      <c r="W98" s="8"/>
      <c r="X98" s="8"/>
      <c r="Y98" s="8"/>
      <c r="Z98" s="8"/>
      <c r="AA98" s="8"/>
      <c r="AB98" s="8"/>
      <c r="AC98" s="8"/>
      <c r="AD98" s="8"/>
      <c r="AE98" s="1"/>
      <c r="AF98" s="1"/>
    </row>
    <row r="99" spans="1:32" ht="12" customHeight="1" x14ac:dyDescent="0.25">
      <c r="A99" s="136" t="s">
        <v>263</v>
      </c>
      <c r="B99" s="152" t="s">
        <v>5</v>
      </c>
      <c r="C99" s="165" t="s">
        <v>35</v>
      </c>
      <c r="D99" s="171">
        <v>0</v>
      </c>
      <c r="E99" s="171">
        <v>0</v>
      </c>
      <c r="F99" s="172"/>
      <c r="G99" s="8"/>
      <c r="H99" s="171">
        <v>0</v>
      </c>
      <c r="I99" s="171">
        <v>0</v>
      </c>
      <c r="J99" s="171">
        <v>0</v>
      </c>
      <c r="K99" s="171">
        <v>0</v>
      </c>
      <c r="L99" s="171">
        <v>0</v>
      </c>
      <c r="M99" s="171">
        <v>0</v>
      </c>
      <c r="P99" s="156"/>
      <c r="Q99" s="171"/>
      <c r="R99" s="171"/>
      <c r="S99" s="171"/>
      <c r="T99" s="171"/>
      <c r="U99" s="156"/>
      <c r="V99" s="4"/>
      <c r="W99" s="4"/>
      <c r="X99" s="339" t="s">
        <v>177</v>
      </c>
      <c r="Y99" s="340"/>
      <c r="Z99" s="340"/>
      <c r="AA99" s="340"/>
      <c r="AB99" s="340"/>
      <c r="AC99" s="340"/>
      <c r="AD99" s="340"/>
      <c r="AE99" s="340"/>
      <c r="AF99" s="340"/>
    </row>
    <row r="100" spans="1:32" ht="12" customHeight="1" x14ac:dyDescent="0.25">
      <c r="A100" s="136" t="s">
        <v>263</v>
      </c>
      <c r="B100" s="152" t="s">
        <v>51</v>
      </c>
      <c r="C100" s="165" t="s">
        <v>35</v>
      </c>
      <c r="D100" s="171">
        <v>2022.9580480805932</v>
      </c>
      <c r="E100" s="171">
        <v>2179.6476038157816</v>
      </c>
      <c r="F100" s="172">
        <v>107.74556624562024</v>
      </c>
      <c r="G100" s="8"/>
      <c r="H100" s="171">
        <v>2353.2481915940389</v>
      </c>
      <c r="I100" s="171">
        <v>2179.6476038157816</v>
      </c>
      <c r="J100" s="171">
        <v>1989.5467905560581</v>
      </c>
      <c r="K100" s="171">
        <v>1784.4953534509582</v>
      </c>
      <c r="L100" s="171">
        <v>1886.6794156064404</v>
      </c>
      <c r="M100" s="171">
        <v>2073.9562465403565</v>
      </c>
      <c r="P100" s="156">
        <v>107.96461719198757</v>
      </c>
      <c r="Q100" s="171">
        <v>100</v>
      </c>
      <c r="R100" s="171">
        <v>91.278369359940342</v>
      </c>
      <c r="S100" s="171">
        <v>81.87081940800644</v>
      </c>
      <c r="T100" s="171">
        <v>86.558919538348363</v>
      </c>
      <c r="U100" s="156">
        <v>95.150988761192522</v>
      </c>
      <c r="V100" s="4"/>
      <c r="W100" s="4"/>
      <c r="X100" s="192" t="s">
        <v>260</v>
      </c>
    </row>
    <row r="101" spans="1:32" ht="11.25" customHeight="1" x14ac:dyDescent="0.2">
      <c r="A101" s="136" t="s">
        <v>263</v>
      </c>
      <c r="B101" s="152" t="s">
        <v>50</v>
      </c>
      <c r="C101" s="165" t="s">
        <v>35</v>
      </c>
      <c r="D101" s="171">
        <v>271.43806545041434</v>
      </c>
      <c r="E101" s="171">
        <v>202.77999999999994</v>
      </c>
      <c r="F101" s="172">
        <v>74.705807994731416</v>
      </c>
      <c r="G101" s="8"/>
      <c r="H101" s="171">
        <v>202.77999999999994</v>
      </c>
      <c r="I101" s="171">
        <v>202.77999999999994</v>
      </c>
      <c r="J101" s="171">
        <v>202.77999999999994</v>
      </c>
      <c r="K101" s="171">
        <v>202.77999999999994</v>
      </c>
      <c r="L101" s="171">
        <v>202.77999999999994</v>
      </c>
      <c r="M101" s="171">
        <v>202.77999999999994</v>
      </c>
      <c r="P101" s="156">
        <v>100</v>
      </c>
      <c r="Q101" s="171">
        <v>100</v>
      </c>
      <c r="R101" s="171">
        <v>100</v>
      </c>
      <c r="S101" s="171">
        <v>100</v>
      </c>
      <c r="T101" s="171">
        <v>100</v>
      </c>
      <c r="U101" s="156">
        <v>100</v>
      </c>
      <c r="V101" s="4"/>
      <c r="W101" s="4"/>
      <c r="X101" s="4"/>
      <c r="Y101" s="4"/>
      <c r="Z101" s="4"/>
      <c r="AA101" s="4"/>
      <c r="AB101" s="4"/>
      <c r="AC101" s="4"/>
      <c r="AD101" s="4"/>
    </row>
    <row r="102" spans="1:32" ht="11.25" customHeight="1" x14ac:dyDescent="0.2">
      <c r="A102" s="136" t="s">
        <v>263</v>
      </c>
      <c r="B102" s="151" t="s">
        <v>49</v>
      </c>
      <c r="C102" s="168" t="s">
        <v>35</v>
      </c>
      <c r="D102" s="169">
        <v>1751.5199826301789</v>
      </c>
      <c r="E102" s="169">
        <v>1976.8676038157816</v>
      </c>
      <c r="F102" s="170">
        <v>112.86583215837528</v>
      </c>
      <c r="G102" s="8"/>
      <c r="H102" s="169">
        <v>2150.4681915940391</v>
      </c>
      <c r="I102" s="169">
        <v>1976.8676038157816</v>
      </c>
      <c r="J102" s="169">
        <v>1786.7667905560581</v>
      </c>
      <c r="K102" s="169">
        <v>1581.7153534509582</v>
      </c>
      <c r="L102" s="169">
        <v>1683.8994156064405</v>
      </c>
      <c r="M102" s="169">
        <v>1871.1762465403565</v>
      </c>
      <c r="N102" s="9"/>
      <c r="O102" s="9"/>
      <c r="P102" s="155">
        <v>108.7815991037119</v>
      </c>
      <c r="Q102" s="169">
        <v>100</v>
      </c>
      <c r="R102" s="169">
        <v>90.383735719438789</v>
      </c>
      <c r="S102" s="169">
        <v>80.011192980142212</v>
      </c>
      <c r="T102" s="169">
        <v>85.180181634629989</v>
      </c>
      <c r="U102" s="155">
        <v>94.653594551733349</v>
      </c>
      <c r="V102" s="4"/>
      <c r="W102" s="4"/>
      <c r="X102" s="4"/>
      <c r="Y102" s="4"/>
      <c r="Z102" s="4"/>
      <c r="AA102" s="4"/>
      <c r="AB102" s="4"/>
      <c r="AC102" s="4"/>
      <c r="AD102" s="4"/>
    </row>
    <row r="103" spans="1:32" s="16" customFormat="1" ht="11.25" customHeight="1" x14ac:dyDescent="0.2">
      <c r="A103" s="136" t="s">
        <v>263</v>
      </c>
      <c r="B103" s="153" t="s">
        <v>48</v>
      </c>
      <c r="C103" s="173" t="s">
        <v>46</v>
      </c>
      <c r="D103" s="174">
        <v>0.50043428075147967</v>
      </c>
      <c r="E103" s="174">
        <v>0.56481931537593766</v>
      </c>
      <c r="F103" s="170">
        <v>112.86583215837528</v>
      </c>
      <c r="G103" s="8"/>
      <c r="H103" s="174">
        <v>0.53761704789850984</v>
      </c>
      <c r="I103" s="174">
        <v>0.56481931537593766</v>
      </c>
      <c r="J103" s="174">
        <v>0.59558893018535275</v>
      </c>
      <c r="K103" s="174">
        <v>0.63268614138038326</v>
      </c>
      <c r="L103" s="174">
        <v>0.56129980520214684</v>
      </c>
      <c r="M103" s="174">
        <v>0.53462178472581612</v>
      </c>
      <c r="N103" s="9" t="e">
        <v>#DIV/0!</v>
      </c>
      <c r="P103" s="157">
        <v>95.183899215747914</v>
      </c>
      <c r="Q103" s="183">
        <v>100</v>
      </c>
      <c r="R103" s="183">
        <v>105.44769167267857</v>
      </c>
      <c r="S103" s="183">
        <v>112.01567017219909</v>
      </c>
      <c r="T103" s="183">
        <v>99.376878573734984</v>
      </c>
      <c r="U103" s="157">
        <v>94.653594551733349</v>
      </c>
      <c r="V103" s="4"/>
      <c r="W103" s="4"/>
      <c r="X103" s="4"/>
      <c r="Y103" s="4"/>
      <c r="Z103" s="4"/>
      <c r="AA103" s="4"/>
      <c r="AB103" s="4"/>
      <c r="AC103" s="4"/>
      <c r="AD103" s="4"/>
      <c r="AE103" s="1"/>
      <c r="AF103" s="1"/>
    </row>
    <row r="104" spans="1:32" s="16" customFormat="1" ht="11.25" customHeight="1" x14ac:dyDescent="0.2">
      <c r="A104" s="136" t="s">
        <v>263</v>
      </c>
      <c r="B104" s="16" t="s">
        <v>47</v>
      </c>
      <c r="C104" s="175" t="s">
        <v>46</v>
      </c>
      <c r="D104" s="176">
        <v>0.66799999999999982</v>
      </c>
      <c r="E104" s="176">
        <v>0.37799999999999995</v>
      </c>
      <c r="F104" s="164">
        <v>56.586826347305397</v>
      </c>
      <c r="G104" s="8"/>
      <c r="H104" s="176">
        <v>0.37799999999999995</v>
      </c>
      <c r="I104" s="176">
        <v>0.37799999999999995</v>
      </c>
      <c r="J104" s="176">
        <v>0.37799999999999995</v>
      </c>
      <c r="K104" s="176">
        <v>0.37799999999999995</v>
      </c>
      <c r="L104" s="176">
        <v>0.37799999999999995</v>
      </c>
      <c r="M104" s="176">
        <v>0.37799999999999995</v>
      </c>
      <c r="N104" s="9" t="e">
        <v>#N/A</v>
      </c>
      <c r="P104" s="73">
        <v>100</v>
      </c>
      <c r="Q104" s="184">
        <v>100</v>
      </c>
      <c r="R104" s="184">
        <v>100</v>
      </c>
      <c r="S104" s="184">
        <v>100</v>
      </c>
      <c r="T104" s="184">
        <v>100</v>
      </c>
      <c r="U104" s="73">
        <v>100</v>
      </c>
      <c r="V104" s="4"/>
      <c r="W104" s="4"/>
      <c r="X104" s="4"/>
      <c r="Y104" s="4"/>
      <c r="Z104" s="4"/>
      <c r="AA104" s="4"/>
      <c r="AB104" s="4"/>
      <c r="AC104" s="4"/>
      <c r="AD104" s="4"/>
      <c r="AE104" s="1"/>
      <c r="AF104" s="1"/>
    </row>
    <row r="105" spans="1:32" s="9" customFormat="1" ht="11.25" customHeight="1" x14ac:dyDescent="0.2">
      <c r="A105" s="136" t="s">
        <v>263</v>
      </c>
      <c r="B105" s="9" t="s">
        <v>45</v>
      </c>
      <c r="C105" s="159" t="s">
        <v>35</v>
      </c>
      <c r="D105" s="163">
        <v>2609.4380654504139</v>
      </c>
      <c r="E105" s="163">
        <v>1525.7799999999997</v>
      </c>
      <c r="F105" s="164">
        <v>58.471592800062709</v>
      </c>
      <c r="G105" s="8"/>
      <c r="H105" s="163">
        <v>1714.7799999999997</v>
      </c>
      <c r="I105" s="163">
        <v>1525.7799999999997</v>
      </c>
      <c r="J105" s="163">
        <v>1336.7799999999997</v>
      </c>
      <c r="K105" s="163">
        <v>1147.7799999999997</v>
      </c>
      <c r="L105" s="163">
        <v>1336.7799999999997</v>
      </c>
      <c r="M105" s="163">
        <v>1525.7799999999997</v>
      </c>
      <c r="N105" s="1" t="e">
        <v>#N/A</v>
      </c>
      <c r="P105" s="8">
        <v>112.38710692236103</v>
      </c>
      <c r="Q105" s="163">
        <v>100</v>
      </c>
      <c r="R105" s="163">
        <v>87.612893077638972</v>
      </c>
      <c r="S105" s="163">
        <v>75.225786155277945</v>
      </c>
      <c r="T105" s="163">
        <v>87.612893077638972</v>
      </c>
      <c r="U105" s="8">
        <v>100</v>
      </c>
      <c r="V105" s="8"/>
      <c r="W105" s="8"/>
      <c r="X105" s="8"/>
      <c r="Y105" s="8"/>
      <c r="Z105" s="8"/>
      <c r="AA105" s="8"/>
      <c r="AB105" s="8"/>
      <c r="AC105" s="8"/>
      <c r="AD105" s="8"/>
      <c r="AE105" s="1"/>
      <c r="AF105" s="1"/>
    </row>
    <row r="106" spans="1:32" ht="11.25" customHeight="1" x14ac:dyDescent="0.2">
      <c r="A106" s="136" t="s">
        <v>263</v>
      </c>
      <c r="B106" s="1" t="s">
        <v>44</v>
      </c>
      <c r="C106" s="162" t="s">
        <v>35</v>
      </c>
      <c r="D106" s="177">
        <v>0</v>
      </c>
      <c r="E106" s="177">
        <v>0</v>
      </c>
      <c r="F106" s="164"/>
      <c r="G106" s="8"/>
      <c r="H106" s="177">
        <v>0</v>
      </c>
      <c r="I106" s="177">
        <v>0</v>
      </c>
      <c r="J106" s="177">
        <v>0</v>
      </c>
      <c r="K106" s="177">
        <v>0</v>
      </c>
      <c r="L106" s="177">
        <v>0</v>
      </c>
      <c r="M106" s="177">
        <v>0</v>
      </c>
      <c r="N106" s="1" t="e">
        <v>#N/A</v>
      </c>
      <c r="P106" s="4"/>
      <c r="Q106" s="177"/>
      <c r="R106" s="177"/>
      <c r="S106" s="177"/>
      <c r="T106" s="177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2" ht="11.25" customHeight="1" x14ac:dyDescent="0.2">
      <c r="A107" s="136" t="s">
        <v>263</v>
      </c>
      <c r="B107" s="151" t="s">
        <v>43</v>
      </c>
      <c r="C107" s="165"/>
      <c r="D107" s="171"/>
      <c r="E107" s="171"/>
      <c r="F107" s="170"/>
      <c r="G107" s="8"/>
      <c r="H107" s="171"/>
      <c r="I107" s="171"/>
      <c r="J107" s="171"/>
      <c r="K107" s="171"/>
      <c r="L107" s="171"/>
      <c r="M107" s="171"/>
      <c r="P107" s="156"/>
      <c r="Q107" s="171"/>
      <c r="R107" s="171"/>
      <c r="S107" s="171"/>
      <c r="T107" s="171"/>
      <c r="U107" s="156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2" ht="11.25" customHeight="1" x14ac:dyDescent="0.2">
      <c r="A108" s="136" t="s">
        <v>263</v>
      </c>
      <c r="B108" s="152" t="s">
        <v>42</v>
      </c>
      <c r="C108" s="165" t="s">
        <v>35</v>
      </c>
      <c r="D108" s="171">
        <v>2609.4380654504139</v>
      </c>
      <c r="E108" s="171">
        <v>1525.7799999999997</v>
      </c>
      <c r="F108" s="172">
        <v>58.471592800062709</v>
      </c>
      <c r="G108" s="8"/>
      <c r="H108" s="171">
        <v>1714.7799999999997</v>
      </c>
      <c r="I108" s="171">
        <v>1525.7799999999997</v>
      </c>
      <c r="J108" s="171">
        <v>1336.7799999999997</v>
      </c>
      <c r="K108" s="171">
        <v>1147.7799999999997</v>
      </c>
      <c r="L108" s="171">
        <v>1336.7799999999997</v>
      </c>
      <c r="M108" s="171">
        <v>1525.7799999999997</v>
      </c>
      <c r="N108" s="1" t="e">
        <v>#N/A</v>
      </c>
      <c r="P108" s="156">
        <v>112.38710692236103</v>
      </c>
      <c r="Q108" s="171">
        <v>100</v>
      </c>
      <c r="R108" s="171">
        <v>87.612893077638972</v>
      </c>
      <c r="S108" s="171">
        <v>75.225786155277945</v>
      </c>
      <c r="T108" s="171">
        <v>87.612893077638972</v>
      </c>
      <c r="U108" s="156">
        <v>100</v>
      </c>
      <c r="V108" s="4"/>
      <c r="W108" s="4"/>
      <c r="X108" s="4"/>
      <c r="Y108" s="4"/>
      <c r="Z108" s="4"/>
      <c r="AA108" s="4"/>
      <c r="AB108" s="4"/>
      <c r="AC108" s="4"/>
      <c r="AD108" s="4"/>
    </row>
    <row r="109" spans="1:32" ht="11.25" customHeight="1" x14ac:dyDescent="0.2">
      <c r="A109" s="136" t="s">
        <v>263</v>
      </c>
      <c r="B109" s="152" t="s">
        <v>41</v>
      </c>
      <c r="C109" s="165" t="s">
        <v>35</v>
      </c>
      <c r="D109" s="171">
        <v>2022.9580480805935</v>
      </c>
      <c r="E109" s="171">
        <v>2179.6476038157821</v>
      </c>
      <c r="F109" s="172">
        <v>107.74556624562024</v>
      </c>
      <c r="G109" s="8"/>
      <c r="H109" s="171">
        <v>2353.2481915940389</v>
      </c>
      <c r="I109" s="171">
        <v>2179.6476038157821</v>
      </c>
      <c r="J109" s="171">
        <v>1989.5467905560581</v>
      </c>
      <c r="K109" s="171">
        <v>1784.4953534509582</v>
      </c>
      <c r="L109" s="171">
        <v>1886.6794156064407</v>
      </c>
      <c r="M109" s="171">
        <v>2073.9562465403569</v>
      </c>
      <c r="N109" s="1" t="e">
        <v>#N/A</v>
      </c>
      <c r="P109" s="156">
        <v>107.96461719198756</v>
      </c>
      <c r="Q109" s="171">
        <v>100</v>
      </c>
      <c r="R109" s="171">
        <v>91.278369359940314</v>
      </c>
      <c r="S109" s="171">
        <v>81.870819408006426</v>
      </c>
      <c r="T109" s="171">
        <v>86.558919538348363</v>
      </c>
      <c r="U109" s="156">
        <v>95.150988761192522</v>
      </c>
      <c r="V109" s="4"/>
      <c r="W109" s="4"/>
      <c r="X109" s="4"/>
      <c r="Y109" s="4"/>
      <c r="Z109" s="4"/>
      <c r="AA109" s="4"/>
      <c r="AB109" s="4"/>
      <c r="AC109" s="4"/>
      <c r="AD109" s="4"/>
    </row>
    <row r="110" spans="1:32" ht="11.25" customHeight="1" x14ac:dyDescent="0.2">
      <c r="A110" s="136" t="s">
        <v>263</v>
      </c>
      <c r="B110" s="152" t="s">
        <v>40</v>
      </c>
      <c r="C110" s="165" t="s">
        <v>35</v>
      </c>
      <c r="D110" s="171">
        <v>1623.7977544457899</v>
      </c>
      <c r="E110" s="171">
        <v>1742.1976327201946</v>
      </c>
      <c r="F110" s="172">
        <v>107.29154095392965</v>
      </c>
      <c r="G110" s="8"/>
      <c r="H110" s="171">
        <v>1912.0586079946274</v>
      </c>
      <c r="I110" s="171">
        <v>1742.1976327201946</v>
      </c>
      <c r="J110" s="171">
        <v>1568.9043276312789</v>
      </c>
      <c r="K110" s="171">
        <v>1387.1746116261113</v>
      </c>
      <c r="L110" s="171">
        <v>1537.9763994217005</v>
      </c>
      <c r="M110" s="171">
        <v>1710.505538024011</v>
      </c>
      <c r="N110" s="1" t="e">
        <v>#N/A</v>
      </c>
      <c r="P110" s="156">
        <v>109.74981093328768</v>
      </c>
      <c r="Q110" s="171">
        <v>100</v>
      </c>
      <c r="R110" s="171">
        <v>90.053177559520449</v>
      </c>
      <c r="S110" s="171">
        <v>79.62211551511723</v>
      </c>
      <c r="T110" s="171">
        <v>88.277952543212251</v>
      </c>
      <c r="U110" s="156">
        <v>98.18091276781837</v>
      </c>
      <c r="V110" s="4"/>
      <c r="W110" s="4"/>
      <c r="X110" s="4"/>
      <c r="Y110" s="4"/>
      <c r="Z110" s="4"/>
      <c r="AA110" s="4"/>
      <c r="AB110" s="4"/>
      <c r="AC110" s="4"/>
      <c r="AD110" s="4"/>
    </row>
    <row r="111" spans="1:32" ht="11.25" customHeight="1" x14ac:dyDescent="0.2">
      <c r="A111" s="136" t="s">
        <v>263</v>
      </c>
      <c r="B111" s="152" t="s">
        <v>39</v>
      </c>
      <c r="C111" s="165" t="s">
        <v>35</v>
      </c>
      <c r="D111" s="171">
        <v>132.68073322346288</v>
      </c>
      <c r="E111" s="171">
        <v>135.44005748052263</v>
      </c>
      <c r="F111" s="172">
        <v>102.07967214984595</v>
      </c>
      <c r="G111" s="8"/>
      <c r="H111" s="171">
        <v>137.40791402097761</v>
      </c>
      <c r="I111" s="171">
        <v>135.44005748052263</v>
      </c>
      <c r="J111" s="171">
        <v>129.71464177242817</v>
      </c>
      <c r="K111" s="171">
        <v>121.70014401213658</v>
      </c>
      <c r="L111" s="171">
        <v>103.79745951391305</v>
      </c>
      <c r="M111" s="171">
        <v>108.93053643965412</v>
      </c>
      <c r="N111" s="1" t="e">
        <v>#N/A</v>
      </c>
      <c r="P111" s="156">
        <v>101.45293539966048</v>
      </c>
      <c r="Q111" s="171">
        <v>100</v>
      </c>
      <c r="R111" s="171">
        <v>95.772730893208731</v>
      </c>
      <c r="S111" s="171">
        <v>89.855354668346948</v>
      </c>
      <c r="T111" s="171">
        <v>76.637193932703369</v>
      </c>
      <c r="U111" s="156">
        <v>80.427119174339694</v>
      </c>
      <c r="V111" s="4"/>
      <c r="W111" s="4"/>
      <c r="X111" s="4"/>
      <c r="Y111" s="4"/>
      <c r="Z111" s="4"/>
      <c r="AA111" s="4"/>
      <c r="AB111" s="4"/>
      <c r="AC111" s="4"/>
      <c r="AD111" s="4"/>
    </row>
    <row r="112" spans="1:32" s="9" customFormat="1" ht="11.25" customHeight="1" x14ac:dyDescent="0.2">
      <c r="A112" s="136" t="s">
        <v>263</v>
      </c>
      <c r="B112" s="151" t="s">
        <v>38</v>
      </c>
      <c r="C112" s="168" t="s">
        <v>35</v>
      </c>
      <c r="D112" s="169">
        <v>266.47956041134069</v>
      </c>
      <c r="E112" s="169">
        <v>302.00991361506482</v>
      </c>
      <c r="F112" s="170">
        <v>113.33323769705981</v>
      </c>
      <c r="G112" s="8"/>
      <c r="H112" s="169">
        <v>303.78166957843382</v>
      </c>
      <c r="I112" s="169">
        <v>302.00991361506482</v>
      </c>
      <c r="J112" s="169">
        <v>290.92782115235104</v>
      </c>
      <c r="K112" s="169">
        <v>275.62059781271034</v>
      </c>
      <c r="L112" s="169">
        <v>244.90555667082708</v>
      </c>
      <c r="M112" s="169">
        <v>254.52017207669178</v>
      </c>
      <c r="N112" s="1" t="e">
        <v>#N/A</v>
      </c>
      <c r="P112" s="155">
        <v>100.58665490220537</v>
      </c>
      <c r="Q112" s="169">
        <v>100</v>
      </c>
      <c r="R112" s="169">
        <v>96.330553414601226</v>
      </c>
      <c r="S112" s="169">
        <v>91.262102794416961</v>
      </c>
      <c r="T112" s="169">
        <v>81.09189322274311</v>
      </c>
      <c r="U112" s="155">
        <v>84.27543620342793</v>
      </c>
      <c r="V112" s="8"/>
      <c r="W112" s="8"/>
      <c r="X112" s="8"/>
      <c r="Y112" s="8"/>
      <c r="Z112" s="8"/>
      <c r="AA112" s="8"/>
      <c r="AB112" s="8"/>
      <c r="AC112" s="8"/>
      <c r="AD112" s="8"/>
      <c r="AE112" s="1"/>
      <c r="AF112" s="1"/>
    </row>
    <row r="113" spans="1:33" ht="11.25" customHeight="1" x14ac:dyDescent="0.2">
      <c r="A113" s="136" t="s">
        <v>263</v>
      </c>
      <c r="B113" s="152" t="s">
        <v>37</v>
      </c>
      <c r="C113" s="165" t="s">
        <v>35</v>
      </c>
      <c r="D113" s="171">
        <v>985.64031100462398</v>
      </c>
      <c r="E113" s="171">
        <v>-216.41763272019489</v>
      </c>
      <c r="F113" s="172"/>
      <c r="G113" s="8"/>
      <c r="H113" s="171">
        <v>-197.27860799462769</v>
      </c>
      <c r="I113" s="171">
        <v>-216.41763272019489</v>
      </c>
      <c r="J113" s="171">
        <v>-232.12432763127913</v>
      </c>
      <c r="K113" s="171">
        <v>-239.39461162611155</v>
      </c>
      <c r="L113" s="171">
        <v>-201.19639942170079</v>
      </c>
      <c r="M113" s="171">
        <v>-184.72553802401126</v>
      </c>
      <c r="N113" s="1" t="e">
        <v>#N/A</v>
      </c>
      <c r="P113" s="156"/>
      <c r="Q113" s="171"/>
      <c r="R113" s="171"/>
      <c r="S113" s="171"/>
      <c r="T113" s="171"/>
      <c r="U113" s="156"/>
      <c r="V113" s="4"/>
      <c r="W113" s="4"/>
      <c r="X113" s="4"/>
      <c r="Y113" s="4"/>
      <c r="Z113" s="4"/>
      <c r="AA113" s="4"/>
      <c r="AB113" s="4"/>
      <c r="AC113" s="4"/>
      <c r="AD113" s="4"/>
    </row>
    <row r="114" spans="1:33" s="9" customFormat="1" ht="11.25" customHeight="1" x14ac:dyDescent="0.2">
      <c r="A114" s="136" t="s">
        <v>263</v>
      </c>
      <c r="B114" s="151" t="s">
        <v>36</v>
      </c>
      <c r="C114" s="168" t="s">
        <v>35</v>
      </c>
      <c r="D114" s="169">
        <v>852.9595777811611</v>
      </c>
      <c r="E114" s="169">
        <v>-351.85769020071751</v>
      </c>
      <c r="F114" s="170"/>
      <c r="G114" s="8"/>
      <c r="H114" s="169">
        <v>-334.68652201560531</v>
      </c>
      <c r="I114" s="169">
        <v>-351.85769020071751</v>
      </c>
      <c r="J114" s="169">
        <v>-361.83896940370732</v>
      </c>
      <c r="K114" s="169">
        <v>-361.0947556382481</v>
      </c>
      <c r="L114" s="169">
        <v>-304.99385893561384</v>
      </c>
      <c r="M114" s="169">
        <v>-293.65607446366539</v>
      </c>
      <c r="N114" s="1" t="e">
        <v>#N/A</v>
      </c>
      <c r="P114" s="155"/>
      <c r="Q114" s="169"/>
      <c r="R114" s="169"/>
      <c r="S114" s="169"/>
      <c r="T114" s="169"/>
      <c r="U114" s="155"/>
      <c r="V114" s="8"/>
      <c r="W114" s="8"/>
      <c r="X114" s="8"/>
      <c r="Y114" s="8"/>
      <c r="Z114" s="8"/>
      <c r="AA114" s="8"/>
      <c r="AB114" s="8"/>
      <c r="AC114" s="8"/>
      <c r="AD114" s="8"/>
      <c r="AE114" s="1"/>
      <c r="AF114" s="1"/>
    </row>
    <row r="115" spans="1:33" ht="12" customHeight="1" x14ac:dyDescent="0.25">
      <c r="A115" s="136" t="s">
        <v>263</v>
      </c>
      <c r="B115" s="152" t="s">
        <v>34</v>
      </c>
      <c r="C115" s="167" t="s">
        <v>33</v>
      </c>
      <c r="D115" s="171">
        <v>58.42818825819537</v>
      </c>
      <c r="E115" s="171">
        <v>-24.122994130081679</v>
      </c>
      <c r="F115" s="172"/>
      <c r="G115" s="8"/>
      <c r="H115" s="171">
        <v>-22.789105855755821</v>
      </c>
      <c r="I115" s="171">
        <v>-24.122994130081679</v>
      </c>
      <c r="J115" s="171">
        <v>-26.028783915229383</v>
      </c>
      <c r="K115" s="171">
        <v>-27.829781063658682</v>
      </c>
      <c r="L115" s="171">
        <v>-27.281114425076044</v>
      </c>
      <c r="M115" s="171">
        <v>-24.945159532072232</v>
      </c>
      <c r="N115" s="1" t="e">
        <v>#N/A</v>
      </c>
      <c r="P115" s="156"/>
      <c r="Q115" s="171"/>
      <c r="R115" s="171"/>
      <c r="S115" s="171"/>
      <c r="T115" s="171"/>
      <c r="U115" s="156"/>
      <c r="V115" s="4"/>
      <c r="W115" s="4"/>
      <c r="X115" s="339" t="s">
        <v>232</v>
      </c>
      <c r="Y115" s="340"/>
      <c r="Z115" s="340"/>
      <c r="AA115" s="340"/>
      <c r="AB115" s="340"/>
      <c r="AC115" s="340"/>
      <c r="AD115" s="340"/>
      <c r="AE115" s="340"/>
      <c r="AF115" s="340"/>
    </row>
    <row r="116" spans="1:33" ht="12" customHeight="1" x14ac:dyDescent="0.25">
      <c r="A116" s="136" t="s">
        <v>263</v>
      </c>
      <c r="C116" s="19"/>
      <c r="D116" s="35">
        <v>6.4385034624457771E-2</v>
      </c>
      <c r="E116" s="35">
        <v>0</v>
      </c>
      <c r="F116" s="36"/>
      <c r="G116" s="36"/>
      <c r="H116" s="35">
        <v>0</v>
      </c>
      <c r="I116" s="35">
        <v>0</v>
      </c>
      <c r="J116" s="35">
        <v>0</v>
      </c>
      <c r="K116" s="35">
        <v>0</v>
      </c>
      <c r="L116" s="35"/>
      <c r="M116" s="35"/>
      <c r="N116" s="35"/>
      <c r="P116" s="4"/>
      <c r="Q116" s="4"/>
      <c r="R116" s="4"/>
      <c r="S116" s="4"/>
      <c r="T116" s="4"/>
      <c r="U116" s="4"/>
      <c r="V116" s="4"/>
      <c r="W116" s="4"/>
      <c r="X116" s="192" t="s">
        <v>261</v>
      </c>
    </row>
    <row r="117" spans="1:33" s="5" customFormat="1" x14ac:dyDescent="0.2">
      <c r="A117" s="136" t="s">
        <v>240</v>
      </c>
      <c r="B117" s="141" t="s">
        <v>148</v>
      </c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  <c r="X117" s="143"/>
      <c r="Y117" s="143"/>
      <c r="Z117" s="143"/>
      <c r="AA117" s="143"/>
      <c r="AB117" s="143"/>
      <c r="AC117" s="143"/>
      <c r="AD117" s="143"/>
      <c r="AE117" s="143"/>
      <c r="AF117" s="143"/>
      <c r="AG117" s="1"/>
    </row>
    <row r="118" spans="1:33" s="5" customFormat="1" x14ac:dyDescent="0.2">
      <c r="A118" s="136" t="s">
        <v>240</v>
      </c>
      <c r="B118" s="141" t="s">
        <v>149</v>
      </c>
      <c r="C118" s="140"/>
      <c r="D118" s="143" t="s">
        <v>119</v>
      </c>
      <c r="E118" s="143" t="s">
        <v>151</v>
      </c>
      <c r="F118" s="143"/>
      <c r="G118" s="143"/>
      <c r="H118" s="143" t="s">
        <v>152</v>
      </c>
      <c r="I118" s="143" t="s">
        <v>153</v>
      </c>
      <c r="J118" s="143" t="s">
        <v>151</v>
      </c>
      <c r="K118" s="143" t="s">
        <v>154</v>
      </c>
      <c r="L118" s="143" t="s">
        <v>197</v>
      </c>
      <c r="M118" s="143" t="s">
        <v>198</v>
      </c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3"/>
      <c r="Y118" s="143"/>
      <c r="Z118" s="143"/>
      <c r="AA118" s="143"/>
      <c r="AB118" s="143"/>
      <c r="AC118" s="143"/>
      <c r="AD118" s="143"/>
      <c r="AE118" s="143"/>
      <c r="AF118" s="143"/>
      <c r="AG118" s="1"/>
    </row>
    <row r="119" spans="1:33" s="5" customFormat="1" ht="13.2" x14ac:dyDescent="0.25">
      <c r="A119" s="136" t="s">
        <v>240</v>
      </c>
      <c r="B119" s="149" t="s">
        <v>240</v>
      </c>
      <c r="C119" s="337">
        <v>0</v>
      </c>
      <c r="D119" s="185">
        <v>2022</v>
      </c>
      <c r="E119" s="185">
        <v>2023</v>
      </c>
      <c r="F119" s="341" t="s">
        <v>256</v>
      </c>
      <c r="G119" s="186"/>
      <c r="H119" s="179"/>
      <c r="I119" s="179"/>
      <c r="J119" s="179" t="s">
        <v>258</v>
      </c>
      <c r="K119" s="179"/>
      <c r="L119" s="179"/>
      <c r="M119" s="179"/>
      <c r="N119" s="142"/>
      <c r="O119" s="142"/>
      <c r="P119" s="179"/>
      <c r="Q119" s="179"/>
      <c r="R119" s="179" t="s">
        <v>160</v>
      </c>
      <c r="S119" s="179"/>
      <c r="T119" s="179"/>
      <c r="U119" s="179"/>
      <c r="V119" s="66"/>
      <c r="W119" s="66"/>
      <c r="X119" s="66"/>
      <c r="Y119" s="66"/>
      <c r="Z119" s="66"/>
      <c r="AA119" s="66"/>
      <c r="AB119" s="66"/>
      <c r="AC119" s="66"/>
      <c r="AD119" s="66"/>
      <c r="AE119" s="1"/>
      <c r="AF119" s="1"/>
      <c r="AG119" s="1"/>
    </row>
    <row r="120" spans="1:33" s="5" customFormat="1" ht="12" x14ac:dyDescent="0.25">
      <c r="A120" s="136" t="s">
        <v>240</v>
      </c>
      <c r="B120" s="150" t="s">
        <v>84</v>
      </c>
      <c r="C120" s="158"/>
      <c r="D120" s="185"/>
      <c r="E120" s="330" t="s">
        <v>259</v>
      </c>
      <c r="F120" s="342"/>
      <c r="G120" s="186"/>
      <c r="H120" s="187" t="s">
        <v>83</v>
      </c>
      <c r="I120" s="185" t="s">
        <v>82</v>
      </c>
      <c r="J120" s="214" t="s">
        <v>81</v>
      </c>
      <c r="K120" s="185" t="s">
        <v>80</v>
      </c>
      <c r="L120" s="185" t="s">
        <v>79</v>
      </c>
      <c r="M120" s="205" t="s">
        <v>78</v>
      </c>
      <c r="N120" s="191"/>
      <c r="O120" s="191"/>
      <c r="P120" s="188" t="s">
        <v>83</v>
      </c>
      <c r="Q120" s="185" t="s">
        <v>82</v>
      </c>
      <c r="R120" s="214" t="s">
        <v>81</v>
      </c>
      <c r="S120" s="185" t="s">
        <v>80</v>
      </c>
      <c r="T120" s="185" t="s">
        <v>79</v>
      </c>
      <c r="U120" s="188" t="s">
        <v>78</v>
      </c>
      <c r="V120" s="66"/>
      <c r="W120" s="66"/>
      <c r="X120" s="66"/>
      <c r="Y120" s="66"/>
      <c r="Z120" s="66"/>
      <c r="AA120" s="66"/>
      <c r="AB120" s="66"/>
      <c r="AC120" s="66"/>
      <c r="AD120" s="66"/>
      <c r="AE120" s="1"/>
      <c r="AF120" s="1"/>
      <c r="AG120" s="1"/>
    </row>
    <row r="121" spans="1:33" s="5" customFormat="1" x14ac:dyDescent="0.2">
      <c r="A121" s="136" t="s">
        <v>240</v>
      </c>
      <c r="B121" s="9" t="s">
        <v>21</v>
      </c>
      <c r="C121" s="159" t="s">
        <v>20</v>
      </c>
      <c r="D121" s="160">
        <v>10000</v>
      </c>
      <c r="E121" s="160">
        <v>10000</v>
      </c>
      <c r="F121" s="160"/>
      <c r="G121" s="78"/>
      <c r="H121" s="178">
        <v>12000</v>
      </c>
      <c r="I121" s="178">
        <v>11000</v>
      </c>
      <c r="J121" s="178">
        <v>10000</v>
      </c>
      <c r="K121" s="178">
        <v>9000</v>
      </c>
      <c r="L121" s="178">
        <v>8000</v>
      </c>
      <c r="M121" s="178">
        <v>10000</v>
      </c>
      <c r="N121" s="2"/>
      <c r="O121" s="2"/>
      <c r="P121" s="62">
        <v>120</v>
      </c>
      <c r="Q121" s="180">
        <v>110.00000000000001</v>
      </c>
      <c r="R121" s="180">
        <v>100</v>
      </c>
      <c r="S121" s="180">
        <v>90</v>
      </c>
      <c r="T121" s="180">
        <v>80</v>
      </c>
      <c r="U121" s="62">
        <v>100</v>
      </c>
      <c r="V121" s="82"/>
      <c r="W121" s="82"/>
      <c r="X121" s="82"/>
      <c r="Y121" s="82"/>
      <c r="Z121" s="82"/>
      <c r="AA121" s="82"/>
      <c r="AB121" s="82"/>
      <c r="AC121" s="82"/>
      <c r="AD121" s="82"/>
      <c r="AE121" s="1"/>
      <c r="AF121" s="1"/>
      <c r="AG121" s="1"/>
    </row>
    <row r="122" spans="1:33" s="5" customFormat="1" ht="6" customHeight="1" x14ac:dyDescent="0.2">
      <c r="A122" s="136" t="s">
        <v>240</v>
      </c>
      <c r="B122" s="9"/>
      <c r="C122" s="159"/>
      <c r="D122" s="161"/>
      <c r="E122" s="161"/>
      <c r="F122" s="160"/>
      <c r="G122" s="78"/>
      <c r="H122" s="161"/>
      <c r="I122" s="161"/>
      <c r="J122" s="161"/>
      <c r="K122" s="161"/>
      <c r="L122" s="161"/>
      <c r="M122" s="161"/>
      <c r="N122" s="1"/>
      <c r="O122" s="1"/>
      <c r="P122" s="82"/>
      <c r="Q122" s="181"/>
      <c r="R122" s="181"/>
      <c r="S122" s="181"/>
      <c r="T122" s="181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1"/>
      <c r="AF122" s="1"/>
      <c r="AG122" s="1"/>
    </row>
    <row r="123" spans="1:33" s="5" customFormat="1" ht="6" customHeight="1" x14ac:dyDescent="0.2">
      <c r="A123" s="136" t="s">
        <v>240</v>
      </c>
      <c r="B123" s="9"/>
      <c r="C123" s="162"/>
      <c r="D123" s="161"/>
      <c r="E123" s="161"/>
      <c r="F123" s="161"/>
      <c r="G123" s="137"/>
      <c r="H123" s="161"/>
      <c r="I123" s="161"/>
      <c r="J123" s="161"/>
      <c r="K123" s="161"/>
      <c r="L123" s="161"/>
      <c r="M123" s="161"/>
      <c r="N123" s="1"/>
      <c r="O123" s="1"/>
      <c r="P123" s="84"/>
      <c r="Q123" s="182"/>
      <c r="R123" s="182"/>
      <c r="S123" s="182"/>
      <c r="T123" s="182"/>
      <c r="U123" s="84"/>
      <c r="V123" s="82"/>
      <c r="W123" s="82"/>
      <c r="X123" s="82"/>
      <c r="Y123" s="82"/>
      <c r="Z123" s="82"/>
      <c r="AA123" s="82"/>
      <c r="AB123" s="82"/>
      <c r="AC123" s="82"/>
      <c r="AD123" s="82"/>
      <c r="AE123" s="1"/>
      <c r="AF123" s="1"/>
      <c r="AG123" s="1"/>
    </row>
    <row r="124" spans="1:33" s="5" customFormat="1" ht="11.25" customHeight="1" x14ac:dyDescent="0.2">
      <c r="A124" s="136" t="s">
        <v>240</v>
      </c>
      <c r="B124" s="9" t="s">
        <v>90</v>
      </c>
      <c r="C124" s="159" t="s">
        <v>89</v>
      </c>
      <c r="D124" s="163">
        <v>1</v>
      </c>
      <c r="E124" s="163">
        <v>1</v>
      </c>
      <c r="F124" s="164"/>
      <c r="G124" s="8"/>
      <c r="H124" s="163">
        <v>1</v>
      </c>
      <c r="I124" s="163">
        <v>1</v>
      </c>
      <c r="J124" s="163">
        <v>1</v>
      </c>
      <c r="K124" s="163">
        <v>1</v>
      </c>
      <c r="L124" s="163">
        <v>1</v>
      </c>
      <c r="M124" s="163">
        <v>5</v>
      </c>
      <c r="N124" s="9"/>
      <c r="O124" s="9"/>
      <c r="P124" s="84">
        <v>100</v>
      </c>
      <c r="Q124" s="182">
        <v>100</v>
      </c>
      <c r="R124" s="182">
        <v>100</v>
      </c>
      <c r="S124" s="182">
        <v>100</v>
      </c>
      <c r="T124" s="182">
        <v>100</v>
      </c>
      <c r="U124" s="84">
        <v>500</v>
      </c>
      <c r="V124" s="26"/>
      <c r="W124" s="26"/>
      <c r="X124" s="26"/>
      <c r="Y124" s="26"/>
      <c r="Z124" s="26"/>
      <c r="AA124" s="26"/>
      <c r="AB124" s="26"/>
      <c r="AC124" s="26"/>
      <c r="AD124" s="26"/>
      <c r="AE124" s="1"/>
      <c r="AF124" s="1"/>
      <c r="AG124" s="1"/>
    </row>
    <row r="125" spans="1:33" s="5" customFormat="1" ht="11.25" customHeight="1" x14ac:dyDescent="0.2">
      <c r="A125" s="136" t="s">
        <v>240</v>
      </c>
      <c r="B125" s="151" t="s">
        <v>62</v>
      </c>
      <c r="C125" s="165"/>
      <c r="D125" s="166"/>
      <c r="E125" s="166"/>
      <c r="F125" s="167"/>
      <c r="G125" s="1"/>
      <c r="H125" s="166"/>
      <c r="I125" s="166"/>
      <c r="J125" s="166"/>
      <c r="K125" s="166"/>
      <c r="L125" s="166"/>
      <c r="M125" s="166"/>
      <c r="N125" s="1"/>
      <c r="O125" s="1"/>
      <c r="P125" s="154"/>
      <c r="Q125" s="166"/>
      <c r="R125" s="166"/>
      <c r="S125" s="166"/>
      <c r="T125" s="166"/>
      <c r="U125" s="154"/>
      <c r="V125" s="76"/>
      <c r="W125" s="76"/>
      <c r="X125" s="76"/>
      <c r="Y125" s="76"/>
      <c r="Z125" s="76"/>
      <c r="AA125" s="76"/>
      <c r="AB125" s="76"/>
      <c r="AC125" s="76"/>
      <c r="AD125" s="76"/>
      <c r="AE125" s="1"/>
      <c r="AF125" s="1"/>
      <c r="AG125" s="1"/>
    </row>
    <row r="126" spans="1:33" s="10" customFormat="1" ht="11.25" customHeight="1" x14ac:dyDescent="0.2">
      <c r="A126" s="136" t="s">
        <v>240</v>
      </c>
      <c r="B126" s="151" t="s">
        <v>61</v>
      </c>
      <c r="C126" s="168" t="s">
        <v>35</v>
      </c>
      <c r="D126" s="169">
        <v>2472.2538572056555</v>
      </c>
      <c r="E126" s="169">
        <v>2267.1162199563332</v>
      </c>
      <c r="F126" s="170">
        <v>91.702403996603095</v>
      </c>
      <c r="G126" s="8"/>
      <c r="H126" s="169">
        <v>2569.9058105669164</v>
      </c>
      <c r="I126" s="169">
        <v>2407.2116585849594</v>
      </c>
      <c r="J126" s="169">
        <v>2267.1162199563332</v>
      </c>
      <c r="K126" s="169">
        <v>2126.3160336832316</v>
      </c>
      <c r="L126" s="169">
        <v>1955.1501974101293</v>
      </c>
      <c r="M126" s="169">
        <v>2203.4906014926351</v>
      </c>
      <c r="N126" s="1"/>
      <c r="O126" s="9"/>
      <c r="P126" s="155">
        <v>113.35571542143592</v>
      </c>
      <c r="Q126" s="169">
        <v>106.17945553013266</v>
      </c>
      <c r="R126" s="169">
        <v>100</v>
      </c>
      <c r="S126" s="169">
        <v>93.789458827310867</v>
      </c>
      <c r="T126" s="169">
        <v>86.23952227062216</v>
      </c>
      <c r="U126" s="155">
        <v>97.193544031680759</v>
      </c>
      <c r="V126" s="8"/>
      <c r="W126" s="8"/>
      <c r="X126" s="8"/>
      <c r="Y126" s="8"/>
      <c r="Z126" s="8"/>
      <c r="AA126" s="8"/>
      <c r="AB126" s="8"/>
      <c r="AC126" s="8"/>
      <c r="AD126" s="8"/>
      <c r="AE126" s="9"/>
      <c r="AF126" s="9"/>
      <c r="AG126" s="9"/>
    </row>
    <row r="127" spans="1:33" s="5" customFormat="1" ht="11.25" customHeight="1" x14ac:dyDescent="0.2">
      <c r="A127" s="136" t="s">
        <v>240</v>
      </c>
      <c r="B127" s="152" t="s">
        <v>60</v>
      </c>
      <c r="C127" s="165" t="s">
        <v>35</v>
      </c>
      <c r="D127" s="171">
        <v>187.005</v>
      </c>
      <c r="E127" s="171">
        <v>207.97</v>
      </c>
      <c r="F127" s="172">
        <v>111.21093018903238</v>
      </c>
      <c r="G127" s="8"/>
      <c r="H127" s="171">
        <v>207.97</v>
      </c>
      <c r="I127" s="171">
        <v>207.97</v>
      </c>
      <c r="J127" s="171">
        <v>207.97</v>
      </c>
      <c r="K127" s="171">
        <v>207.97</v>
      </c>
      <c r="L127" s="171">
        <v>177.905</v>
      </c>
      <c r="M127" s="171">
        <v>207.97</v>
      </c>
      <c r="N127" s="1"/>
      <c r="O127" s="1"/>
      <c r="P127" s="156">
        <v>100</v>
      </c>
      <c r="Q127" s="171">
        <v>100</v>
      </c>
      <c r="R127" s="171">
        <v>100</v>
      </c>
      <c r="S127" s="171">
        <v>100</v>
      </c>
      <c r="T127" s="171">
        <v>85.543588017502529</v>
      </c>
      <c r="U127" s="156">
        <v>100</v>
      </c>
      <c r="V127" s="4"/>
      <c r="W127" s="4"/>
      <c r="X127" s="4"/>
      <c r="Y127" s="4"/>
      <c r="Z127" s="4"/>
      <c r="AA127" s="4"/>
      <c r="AB127" s="4"/>
      <c r="AC127" s="4"/>
      <c r="AD127" s="4"/>
      <c r="AE127" s="1"/>
      <c r="AF127" s="1"/>
      <c r="AG127" s="1"/>
    </row>
    <row r="128" spans="1:33" s="5" customFormat="1" ht="11.25" customHeight="1" x14ac:dyDescent="0.2">
      <c r="A128" s="136" t="s">
        <v>240</v>
      </c>
      <c r="B128" s="152" t="s">
        <v>59</v>
      </c>
      <c r="C128" s="165" t="s">
        <v>35</v>
      </c>
      <c r="D128" s="171">
        <v>734.11149676380614</v>
      </c>
      <c r="E128" s="171">
        <v>685.69241163313905</v>
      </c>
      <c r="F128" s="172">
        <v>93.40439628801434</v>
      </c>
      <c r="G128" s="8"/>
      <c r="H128" s="171">
        <v>827.36977039876388</v>
      </c>
      <c r="I128" s="171">
        <v>755.8231083453403</v>
      </c>
      <c r="J128" s="171">
        <v>685.69241163313905</v>
      </c>
      <c r="K128" s="171">
        <v>615.85787866406361</v>
      </c>
      <c r="L128" s="171">
        <v>546.02334569498862</v>
      </c>
      <c r="M128" s="171">
        <v>685.69241163313905</v>
      </c>
      <c r="N128" s="1"/>
      <c r="O128" s="1"/>
      <c r="P128" s="156">
        <v>120.66194059639461</v>
      </c>
      <c r="Q128" s="171">
        <v>110.22771953173121</v>
      </c>
      <c r="R128" s="171">
        <v>100</v>
      </c>
      <c r="S128" s="171">
        <v>89.815472391950792</v>
      </c>
      <c r="T128" s="171">
        <v>79.630944783901654</v>
      </c>
      <c r="U128" s="156">
        <v>100</v>
      </c>
      <c r="V128" s="4"/>
      <c r="W128" s="4"/>
      <c r="X128" s="4"/>
      <c r="Y128" s="4"/>
      <c r="Z128" s="4"/>
      <c r="AA128" s="4"/>
      <c r="AB128" s="4"/>
      <c r="AC128" s="4"/>
      <c r="AD128" s="4"/>
      <c r="AE128" s="1"/>
      <c r="AF128" s="1"/>
      <c r="AG128" s="1"/>
    </row>
    <row r="129" spans="1:33" s="5" customFormat="1" ht="11.25" customHeight="1" x14ac:dyDescent="0.2">
      <c r="A129" s="136" t="s">
        <v>240</v>
      </c>
      <c r="B129" s="152" t="s">
        <v>58</v>
      </c>
      <c r="C129" s="165" t="s">
        <v>35</v>
      </c>
      <c r="D129" s="171">
        <v>70.900199999999998</v>
      </c>
      <c r="E129" s="171">
        <v>81.538800000000009</v>
      </c>
      <c r="F129" s="172">
        <v>115.00503524672712</v>
      </c>
      <c r="G129" s="8"/>
      <c r="H129" s="171">
        <v>81.538800000000009</v>
      </c>
      <c r="I129" s="171">
        <v>81.538800000000009</v>
      </c>
      <c r="J129" s="171">
        <v>81.538800000000009</v>
      </c>
      <c r="K129" s="171">
        <v>81.538800000000009</v>
      </c>
      <c r="L129" s="171">
        <v>81.538800000000009</v>
      </c>
      <c r="M129" s="171">
        <v>81.538800000000009</v>
      </c>
      <c r="N129" s="1"/>
      <c r="O129" s="1"/>
      <c r="P129" s="156">
        <v>100</v>
      </c>
      <c r="Q129" s="171">
        <v>100</v>
      </c>
      <c r="R129" s="171">
        <v>100</v>
      </c>
      <c r="S129" s="171">
        <v>100</v>
      </c>
      <c r="T129" s="171">
        <v>100</v>
      </c>
      <c r="U129" s="156">
        <v>100</v>
      </c>
      <c r="V129" s="4"/>
      <c r="W129" s="4"/>
      <c r="X129" s="4"/>
      <c r="Y129" s="4"/>
      <c r="Z129" s="4"/>
      <c r="AA129" s="4"/>
      <c r="AB129" s="4"/>
      <c r="AC129" s="4"/>
      <c r="AD129" s="4"/>
      <c r="AE129" s="1"/>
      <c r="AF129" s="1"/>
      <c r="AG129" s="1"/>
    </row>
    <row r="130" spans="1:33" s="5" customFormat="1" ht="11.25" customHeight="1" x14ac:dyDescent="0.2">
      <c r="A130" s="136" t="s">
        <v>240</v>
      </c>
      <c r="B130" s="152" t="s">
        <v>57</v>
      </c>
      <c r="C130" s="165" t="s">
        <v>35</v>
      </c>
      <c r="D130" s="171">
        <v>1060.8270827678127</v>
      </c>
      <c r="E130" s="171">
        <v>899.23528082180292</v>
      </c>
      <c r="F130" s="172">
        <v>84.767375892742166</v>
      </c>
      <c r="G130" s="8"/>
      <c r="H130" s="171">
        <v>1030.1981379646602</v>
      </c>
      <c r="I130" s="171">
        <v>964.71670939323155</v>
      </c>
      <c r="J130" s="171">
        <v>899.23528082180292</v>
      </c>
      <c r="K130" s="171">
        <v>833.75385225037439</v>
      </c>
      <c r="L130" s="171">
        <v>768.27242367894576</v>
      </c>
      <c r="M130" s="171">
        <v>899.23528082180292</v>
      </c>
      <c r="N130" s="1"/>
      <c r="O130" s="1"/>
      <c r="P130" s="156">
        <v>114.56380325994012</v>
      </c>
      <c r="Q130" s="171">
        <v>107.28190162997005</v>
      </c>
      <c r="R130" s="171">
        <v>100</v>
      </c>
      <c r="S130" s="171">
        <v>92.718098370029963</v>
      </c>
      <c r="T130" s="171">
        <v>85.436196740059913</v>
      </c>
      <c r="U130" s="156">
        <v>100</v>
      </c>
      <c r="V130" s="4"/>
      <c r="W130" s="4"/>
      <c r="X130" s="4"/>
      <c r="Y130" s="4"/>
      <c r="Z130" s="4"/>
      <c r="AA130" s="4"/>
      <c r="AB130" s="4"/>
      <c r="AC130" s="4"/>
      <c r="AD130" s="4"/>
      <c r="AE130" s="1"/>
      <c r="AF130" s="1"/>
      <c r="AG130" s="1"/>
    </row>
    <row r="131" spans="1:33" s="5" customFormat="1" ht="11.25" customHeight="1" x14ac:dyDescent="0.2">
      <c r="A131" s="136" t="s">
        <v>240</v>
      </c>
      <c r="B131" s="152" t="s">
        <v>56</v>
      </c>
      <c r="C131" s="165" t="s">
        <v>35</v>
      </c>
      <c r="D131" s="171">
        <v>19.831500000000002</v>
      </c>
      <c r="E131" s="171">
        <v>19.831500000000002</v>
      </c>
      <c r="F131" s="172">
        <v>100</v>
      </c>
      <c r="G131" s="8"/>
      <c r="H131" s="171">
        <v>20.823075000000003</v>
      </c>
      <c r="I131" s="171">
        <v>20.823075000000003</v>
      </c>
      <c r="J131" s="171">
        <v>19.831500000000002</v>
      </c>
      <c r="K131" s="171">
        <v>17.848350000000003</v>
      </c>
      <c r="L131" s="171">
        <v>15.865200000000003</v>
      </c>
      <c r="M131" s="171">
        <v>19.831500000000002</v>
      </c>
      <c r="N131" s="1"/>
      <c r="O131" s="1"/>
      <c r="P131" s="156">
        <v>105</v>
      </c>
      <c r="Q131" s="171">
        <v>105</v>
      </c>
      <c r="R131" s="171">
        <v>100</v>
      </c>
      <c r="S131" s="171">
        <v>90.000000000000014</v>
      </c>
      <c r="T131" s="171">
        <v>80</v>
      </c>
      <c r="U131" s="156">
        <v>100</v>
      </c>
      <c r="V131" s="4"/>
      <c r="W131" s="4"/>
      <c r="X131" s="4"/>
      <c r="Y131" s="4"/>
      <c r="Z131" s="4"/>
      <c r="AA131" s="4"/>
      <c r="AB131" s="4"/>
      <c r="AC131" s="4"/>
      <c r="AD131" s="4"/>
      <c r="AE131" s="1"/>
      <c r="AF131" s="1"/>
      <c r="AG131" s="1"/>
    </row>
    <row r="132" spans="1:33" s="5" customFormat="1" ht="11.25" customHeight="1" x14ac:dyDescent="0.2">
      <c r="A132" s="136" t="s">
        <v>240</v>
      </c>
      <c r="B132" s="152" t="s">
        <v>55</v>
      </c>
      <c r="C132" s="165" t="s">
        <v>35</v>
      </c>
      <c r="D132" s="171">
        <v>364.04815346353519</v>
      </c>
      <c r="E132" s="171">
        <v>350.1076504748296</v>
      </c>
      <c r="F132" s="172">
        <v>96.170698063957644</v>
      </c>
      <c r="G132" s="8"/>
      <c r="H132" s="171">
        <v>373.96577525474862</v>
      </c>
      <c r="I132" s="171">
        <v>351.17815065364363</v>
      </c>
      <c r="J132" s="171">
        <v>350.1076504748296</v>
      </c>
      <c r="K132" s="171">
        <v>349.02189063355161</v>
      </c>
      <c r="L132" s="171">
        <v>347.93613079227356</v>
      </c>
      <c r="M132" s="171">
        <v>287.81711529268568</v>
      </c>
      <c r="N132" s="1"/>
      <c r="O132" s="1"/>
      <c r="P132" s="156">
        <v>106.81451112181118</v>
      </c>
      <c r="Q132" s="171">
        <v>100.30576314952336</v>
      </c>
      <c r="R132" s="171">
        <v>100</v>
      </c>
      <c r="S132" s="171">
        <v>99.68987828749087</v>
      </c>
      <c r="T132" s="171">
        <v>99.379756574981741</v>
      </c>
      <c r="U132" s="156">
        <v>82.208176514376916</v>
      </c>
      <c r="V132" s="4"/>
      <c r="W132" s="4"/>
      <c r="X132" s="4"/>
      <c r="Y132" s="4"/>
      <c r="Z132" s="4"/>
      <c r="AA132" s="4"/>
      <c r="AB132" s="4"/>
      <c r="AC132" s="4"/>
      <c r="AD132" s="4"/>
      <c r="AE132" s="1"/>
      <c r="AF132" s="1"/>
      <c r="AG132" s="1"/>
    </row>
    <row r="133" spans="1:33" s="5" customFormat="1" ht="11.25" customHeight="1" x14ac:dyDescent="0.2">
      <c r="A133" s="136" t="s">
        <v>240</v>
      </c>
      <c r="B133" s="152" t="s">
        <v>26</v>
      </c>
      <c r="C133" s="165" t="s">
        <v>35</v>
      </c>
      <c r="D133" s="171">
        <v>0</v>
      </c>
      <c r="E133" s="171">
        <v>0</v>
      </c>
      <c r="F133" s="172"/>
      <c r="G133" s="8"/>
      <c r="H133" s="171">
        <v>0</v>
      </c>
      <c r="I133" s="171">
        <v>0</v>
      </c>
      <c r="J133" s="171">
        <v>0</v>
      </c>
      <c r="K133" s="171">
        <v>0</v>
      </c>
      <c r="L133" s="171">
        <v>0</v>
      </c>
      <c r="M133" s="171">
        <v>0</v>
      </c>
      <c r="N133" s="1"/>
      <c r="O133" s="1"/>
      <c r="P133" s="156"/>
      <c r="Q133" s="171"/>
      <c r="R133" s="171"/>
      <c r="S133" s="171"/>
      <c r="T133" s="171"/>
      <c r="U133" s="156"/>
      <c r="V133" s="8"/>
      <c r="W133" s="4"/>
      <c r="X133" s="4"/>
      <c r="Y133" s="4"/>
      <c r="Z133" s="4"/>
      <c r="AA133" s="4"/>
      <c r="AB133" s="4"/>
      <c r="AC133" s="4"/>
      <c r="AD133" s="4"/>
      <c r="AE133" s="1"/>
      <c r="AF133" s="1"/>
      <c r="AG133" s="1"/>
    </row>
    <row r="134" spans="1:33" s="10" customFormat="1" ht="11.25" customHeight="1" x14ac:dyDescent="0.2">
      <c r="A134" s="136" t="s">
        <v>240</v>
      </c>
      <c r="B134" s="151" t="s">
        <v>54</v>
      </c>
      <c r="C134" s="168" t="s">
        <v>35</v>
      </c>
      <c r="D134" s="169">
        <v>262.4388442206772</v>
      </c>
      <c r="E134" s="169">
        <v>297.33297377256082</v>
      </c>
      <c r="F134" s="170">
        <v>113.29609938479312</v>
      </c>
      <c r="G134" s="8"/>
      <c r="H134" s="169">
        <v>312.69734697821366</v>
      </c>
      <c r="I134" s="169">
        <v>298.45301955502907</v>
      </c>
      <c r="J134" s="169">
        <v>297.33297377256082</v>
      </c>
      <c r="K134" s="169">
        <v>296.16625048029988</v>
      </c>
      <c r="L134" s="169">
        <v>294.51074442091561</v>
      </c>
      <c r="M134" s="169">
        <v>255.29803097712264</v>
      </c>
      <c r="N134" s="1"/>
      <c r="O134" s="9"/>
      <c r="P134" s="155">
        <v>105.16739634044272</v>
      </c>
      <c r="Q134" s="169">
        <v>100.37669746757554</v>
      </c>
      <c r="R134" s="169">
        <v>100</v>
      </c>
      <c r="S134" s="169">
        <v>99.607603799384393</v>
      </c>
      <c r="T134" s="169">
        <v>99.05081857695204</v>
      </c>
      <c r="U134" s="155">
        <v>85.86267030457509</v>
      </c>
      <c r="W134" s="8"/>
      <c r="X134" s="8"/>
      <c r="Y134" s="8"/>
      <c r="Z134" s="8"/>
      <c r="AA134" s="8"/>
      <c r="AB134" s="8"/>
      <c r="AC134" s="8"/>
      <c r="AD134" s="8"/>
      <c r="AE134" s="1"/>
      <c r="AF134" s="1"/>
      <c r="AG134" s="9"/>
    </row>
    <row r="135" spans="1:33" s="5" customFormat="1" ht="11.25" customHeight="1" x14ac:dyDescent="0.2">
      <c r="A135" s="136" t="s">
        <v>240</v>
      </c>
      <c r="B135" s="152" t="s">
        <v>53</v>
      </c>
      <c r="C135" s="165" t="s">
        <v>35</v>
      </c>
      <c r="D135" s="171">
        <v>105.06469839803037</v>
      </c>
      <c r="E135" s="171">
        <v>115.14218964157132</v>
      </c>
      <c r="F135" s="172">
        <v>109.59170053995022</v>
      </c>
      <c r="G135" s="8"/>
      <c r="H135" s="171">
        <v>122.5493804073689</v>
      </c>
      <c r="I135" s="171">
        <v>115.52367008194138</v>
      </c>
      <c r="J135" s="171">
        <v>115.14218964157132</v>
      </c>
      <c r="K135" s="171">
        <v>114.76070920120129</v>
      </c>
      <c r="L135" s="171">
        <v>114.37922876083124</v>
      </c>
      <c r="M135" s="171">
        <v>94.458979726567378</v>
      </c>
      <c r="N135" s="1"/>
      <c r="O135" s="1"/>
      <c r="P135" s="156">
        <v>106.43308138298879</v>
      </c>
      <c r="Q135" s="171">
        <v>100.33131247682327</v>
      </c>
      <c r="R135" s="171">
        <v>100</v>
      </c>
      <c r="S135" s="171">
        <v>99.668687523176729</v>
      </c>
      <c r="T135" s="171">
        <v>99.337375046353444</v>
      </c>
      <c r="U135" s="156">
        <v>82.036810330436509</v>
      </c>
      <c r="V135" s="4"/>
      <c r="W135" s="4"/>
      <c r="X135" s="4"/>
      <c r="Y135" s="4"/>
      <c r="Z135" s="4"/>
      <c r="AA135" s="4"/>
      <c r="AB135" s="4"/>
      <c r="AC135" s="4"/>
      <c r="AD135" s="4"/>
      <c r="AE135" s="1"/>
      <c r="AF135" s="1"/>
      <c r="AG135" s="1"/>
    </row>
    <row r="136" spans="1:33" s="10" customFormat="1" ht="11.25" customHeight="1" x14ac:dyDescent="0.2">
      <c r="A136" s="136" t="s">
        <v>240</v>
      </c>
      <c r="B136" s="151" t="s">
        <v>52</v>
      </c>
      <c r="C136" s="168" t="s">
        <v>35</v>
      </c>
      <c r="D136" s="169">
        <v>2734.6927014263329</v>
      </c>
      <c r="E136" s="169">
        <v>2564.449193728894</v>
      </c>
      <c r="F136" s="170">
        <v>93.774675026241709</v>
      </c>
      <c r="G136" s="8"/>
      <c r="H136" s="169">
        <v>2882.6031575451302</v>
      </c>
      <c r="I136" s="169">
        <v>2705.6646781399886</v>
      </c>
      <c r="J136" s="169">
        <v>2564.449193728894</v>
      </c>
      <c r="K136" s="169">
        <v>2422.4822841635314</v>
      </c>
      <c r="L136" s="169">
        <v>2249.660941831045</v>
      </c>
      <c r="M136" s="169">
        <v>2458.7886324697579</v>
      </c>
      <c r="N136" s="1"/>
      <c r="O136" s="9"/>
      <c r="P136" s="155">
        <v>112.40632743258281</v>
      </c>
      <c r="Q136" s="169">
        <v>105.5066594712199</v>
      </c>
      <c r="R136" s="169">
        <v>100</v>
      </c>
      <c r="S136" s="169">
        <v>94.464038908919363</v>
      </c>
      <c r="T136" s="169">
        <v>87.724917589803212</v>
      </c>
      <c r="U136" s="155">
        <v>95.879795103076376</v>
      </c>
      <c r="V136" s="8"/>
      <c r="W136" s="8"/>
      <c r="X136" s="8"/>
      <c r="Y136" s="8"/>
      <c r="Z136" s="8"/>
      <c r="AA136" s="8"/>
      <c r="AB136" s="8"/>
      <c r="AC136" s="8"/>
      <c r="AD136" s="8"/>
      <c r="AE136" s="1"/>
      <c r="AF136" s="1"/>
      <c r="AG136" s="9"/>
    </row>
    <row r="137" spans="1:33" s="5" customFormat="1" ht="12.6" customHeight="1" x14ac:dyDescent="0.25">
      <c r="A137" s="136" t="s">
        <v>240</v>
      </c>
      <c r="B137" s="152" t="s">
        <v>5</v>
      </c>
      <c r="C137" s="165" t="s">
        <v>35</v>
      </c>
      <c r="D137" s="171">
        <v>0</v>
      </c>
      <c r="E137" s="171">
        <v>0</v>
      </c>
      <c r="F137" s="172"/>
      <c r="G137" s="8"/>
      <c r="H137" s="171">
        <v>0</v>
      </c>
      <c r="I137" s="171">
        <v>0</v>
      </c>
      <c r="J137" s="171">
        <v>0</v>
      </c>
      <c r="K137" s="171">
        <v>0</v>
      </c>
      <c r="L137" s="171">
        <v>0</v>
      </c>
      <c r="M137" s="171">
        <v>0</v>
      </c>
      <c r="N137" s="1"/>
      <c r="O137" s="1"/>
      <c r="P137" s="156"/>
      <c r="Q137" s="171"/>
      <c r="R137" s="171"/>
      <c r="S137" s="171"/>
      <c r="T137" s="171"/>
      <c r="U137" s="156"/>
      <c r="V137" s="4"/>
      <c r="W137" s="4"/>
      <c r="X137" s="339" t="s">
        <v>220</v>
      </c>
      <c r="Y137" s="340"/>
      <c r="Z137" s="340"/>
      <c r="AA137" s="340"/>
      <c r="AB137" s="340"/>
      <c r="AC137" s="340"/>
      <c r="AD137" s="340"/>
      <c r="AE137" s="340"/>
      <c r="AF137" s="340"/>
      <c r="AG137" s="1"/>
    </row>
    <row r="138" spans="1:33" s="5" customFormat="1" ht="14.4" customHeight="1" x14ac:dyDescent="0.25">
      <c r="A138" s="136" t="s">
        <v>240</v>
      </c>
      <c r="B138" s="152" t="s">
        <v>51</v>
      </c>
      <c r="C138" s="165" t="s">
        <v>35</v>
      </c>
      <c r="D138" s="171">
        <v>2734.6927014263329</v>
      </c>
      <c r="E138" s="171">
        <v>2564.449193728894</v>
      </c>
      <c r="F138" s="172">
        <v>93.774675026241709</v>
      </c>
      <c r="G138" s="8"/>
      <c r="H138" s="171">
        <v>2882.6031575451302</v>
      </c>
      <c r="I138" s="171">
        <v>2705.6646781399886</v>
      </c>
      <c r="J138" s="171">
        <v>2564.449193728894</v>
      </c>
      <c r="K138" s="171">
        <v>2422.4822841635314</v>
      </c>
      <c r="L138" s="171">
        <v>2249.660941831045</v>
      </c>
      <c r="M138" s="171">
        <v>2458.7886324697579</v>
      </c>
      <c r="N138" s="1"/>
      <c r="O138" s="1"/>
      <c r="P138" s="156">
        <v>112.40632743258281</v>
      </c>
      <c r="Q138" s="171">
        <v>105.5066594712199</v>
      </c>
      <c r="R138" s="171">
        <v>100</v>
      </c>
      <c r="S138" s="171">
        <v>94.464038908919363</v>
      </c>
      <c r="T138" s="171">
        <v>87.724917589803212</v>
      </c>
      <c r="U138" s="156">
        <v>95.879795103076376</v>
      </c>
      <c r="V138" s="4"/>
      <c r="W138" s="4"/>
      <c r="X138" s="192" t="s">
        <v>260</v>
      </c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s="5" customFormat="1" ht="11.25" customHeight="1" x14ac:dyDescent="0.2">
      <c r="A139" s="136" t="s">
        <v>240</v>
      </c>
      <c r="B139" s="152" t="s">
        <v>50</v>
      </c>
      <c r="C139" s="165" t="s">
        <v>35</v>
      </c>
      <c r="D139" s="171">
        <v>273.48692019655294</v>
      </c>
      <c r="E139" s="171">
        <v>202.77999999999994</v>
      </c>
      <c r="F139" s="172">
        <v>74.14614192673767</v>
      </c>
      <c r="G139" s="8"/>
      <c r="H139" s="171">
        <v>202.77999999999994</v>
      </c>
      <c r="I139" s="171">
        <v>202.77999999999994</v>
      </c>
      <c r="J139" s="171">
        <v>202.77999999999994</v>
      </c>
      <c r="K139" s="171">
        <v>202.77999999999994</v>
      </c>
      <c r="L139" s="171">
        <v>202.77999999999994</v>
      </c>
      <c r="M139" s="171">
        <v>202.77999999999994</v>
      </c>
      <c r="N139" s="1"/>
      <c r="O139" s="1"/>
      <c r="P139" s="156">
        <v>100</v>
      </c>
      <c r="Q139" s="171">
        <v>100</v>
      </c>
      <c r="R139" s="171">
        <v>100</v>
      </c>
      <c r="S139" s="171">
        <v>100</v>
      </c>
      <c r="T139" s="171">
        <v>100</v>
      </c>
      <c r="U139" s="156">
        <v>100</v>
      </c>
      <c r="V139" s="4"/>
      <c r="W139" s="4"/>
      <c r="X139" s="4"/>
      <c r="Y139" s="4"/>
      <c r="Z139" s="4"/>
      <c r="AA139" s="4"/>
      <c r="AB139" s="4"/>
      <c r="AC139" s="4"/>
      <c r="AD139" s="4"/>
      <c r="AE139" s="1"/>
      <c r="AF139" s="1"/>
      <c r="AG139" s="1"/>
    </row>
    <row r="140" spans="1:33" s="5" customFormat="1" ht="11.25" customHeight="1" x14ac:dyDescent="0.2">
      <c r="A140" s="136" t="s">
        <v>240</v>
      </c>
      <c r="B140" s="151" t="s">
        <v>49</v>
      </c>
      <c r="C140" s="168" t="s">
        <v>35</v>
      </c>
      <c r="D140" s="169">
        <v>2461.2057812297799</v>
      </c>
      <c r="E140" s="169">
        <v>2361.6691937288942</v>
      </c>
      <c r="F140" s="170">
        <v>95.955779550820381</v>
      </c>
      <c r="G140" s="8"/>
      <c r="H140" s="169">
        <v>2679.8231575451305</v>
      </c>
      <c r="I140" s="169">
        <v>2502.8846781399889</v>
      </c>
      <c r="J140" s="169">
        <v>2361.6691937288942</v>
      </c>
      <c r="K140" s="169">
        <v>2219.7022841635317</v>
      </c>
      <c r="L140" s="169">
        <v>2046.880941831045</v>
      </c>
      <c r="M140" s="169">
        <v>2256.0086324697581</v>
      </c>
      <c r="N140" s="9"/>
      <c r="O140" s="9"/>
      <c r="P140" s="155">
        <v>113.4715719145193</v>
      </c>
      <c r="Q140" s="169">
        <v>105.97947776877785</v>
      </c>
      <c r="R140" s="169">
        <v>100</v>
      </c>
      <c r="S140" s="169">
        <v>93.988704686399885</v>
      </c>
      <c r="T140" s="169">
        <v>86.670942199113725</v>
      </c>
      <c r="U140" s="155">
        <v>95.52602195346816</v>
      </c>
      <c r="V140" s="4"/>
      <c r="W140" s="4"/>
      <c r="X140" s="4"/>
      <c r="Y140" s="4"/>
      <c r="Z140" s="4"/>
      <c r="AA140" s="4"/>
      <c r="AB140" s="4"/>
      <c r="AC140" s="4"/>
      <c r="AD140" s="4"/>
      <c r="AE140" s="1"/>
      <c r="AF140" s="1"/>
      <c r="AG140" s="1"/>
    </row>
    <row r="141" spans="1:33" s="3" customFormat="1" ht="11.25" customHeight="1" x14ac:dyDescent="0.2">
      <c r="A141" s="136" t="s">
        <v>240</v>
      </c>
      <c r="B141" s="153" t="s">
        <v>48</v>
      </c>
      <c r="C141" s="173" t="s">
        <v>46</v>
      </c>
      <c r="D141" s="174">
        <v>0.246120578122978</v>
      </c>
      <c r="E141" s="174">
        <v>0.23616691937288942</v>
      </c>
      <c r="F141" s="170">
        <v>95.955779550820381</v>
      </c>
      <c r="G141" s="8"/>
      <c r="H141" s="174">
        <v>0.2233185964620942</v>
      </c>
      <c r="I141" s="174">
        <v>0.22753497073999898</v>
      </c>
      <c r="J141" s="174">
        <v>0.23616691937288942</v>
      </c>
      <c r="K141" s="174">
        <v>0.2466335871292813</v>
      </c>
      <c r="L141" s="174">
        <v>0.25586011772888062</v>
      </c>
      <c r="M141" s="174">
        <v>0.22560086324697581</v>
      </c>
      <c r="N141" s="1"/>
      <c r="O141" s="16"/>
      <c r="P141" s="157">
        <v>94.559643262099428</v>
      </c>
      <c r="Q141" s="183">
        <v>96.34497978979806</v>
      </c>
      <c r="R141" s="183">
        <v>100</v>
      </c>
      <c r="S141" s="183">
        <v>104.43189409599989</v>
      </c>
      <c r="T141" s="183">
        <v>108.33867774889217</v>
      </c>
      <c r="U141" s="157">
        <v>95.52602195346816</v>
      </c>
      <c r="V141" s="4"/>
      <c r="W141" s="4"/>
      <c r="X141" s="4"/>
      <c r="Y141" s="4"/>
      <c r="Z141" s="4"/>
      <c r="AA141" s="4"/>
      <c r="AB141" s="4"/>
      <c r="AC141" s="4"/>
      <c r="AD141" s="4"/>
      <c r="AE141" s="1"/>
      <c r="AF141" s="1"/>
      <c r="AG141" s="16"/>
    </row>
    <row r="142" spans="1:33" s="3" customFormat="1" ht="11.25" customHeight="1" x14ac:dyDescent="0.2">
      <c r="A142" s="136" t="s">
        <v>240</v>
      </c>
      <c r="B142" s="16" t="s">
        <v>47</v>
      </c>
      <c r="C142" s="175" t="s">
        <v>46</v>
      </c>
      <c r="D142" s="176">
        <v>0.29599999999999999</v>
      </c>
      <c r="E142" s="176">
        <v>0.14199999999999999</v>
      </c>
      <c r="F142" s="164">
        <v>47.972972972972968</v>
      </c>
      <c r="G142" s="8"/>
      <c r="H142" s="176">
        <v>0.14199999999999999</v>
      </c>
      <c r="I142" s="176">
        <v>0.14199999999999999</v>
      </c>
      <c r="J142" s="176">
        <v>0.14199999999999999</v>
      </c>
      <c r="K142" s="176">
        <v>0.14199999999999999</v>
      </c>
      <c r="L142" s="176">
        <v>0.14199999999999999</v>
      </c>
      <c r="M142" s="176">
        <v>0.14199999999999999</v>
      </c>
      <c r="N142" s="1"/>
      <c r="O142" s="16"/>
      <c r="P142" s="73">
        <v>100</v>
      </c>
      <c r="Q142" s="184">
        <v>100</v>
      </c>
      <c r="R142" s="184">
        <v>100</v>
      </c>
      <c r="S142" s="184">
        <v>100</v>
      </c>
      <c r="T142" s="184">
        <v>100</v>
      </c>
      <c r="U142" s="73">
        <v>100</v>
      </c>
      <c r="V142" s="4"/>
      <c r="W142" s="4"/>
      <c r="X142" s="4"/>
      <c r="Y142" s="4"/>
      <c r="Z142" s="4"/>
      <c r="AA142" s="4"/>
      <c r="AB142" s="4"/>
      <c r="AC142" s="4"/>
      <c r="AD142" s="4"/>
      <c r="AE142" s="1"/>
      <c r="AF142" s="1"/>
      <c r="AG142" s="16"/>
    </row>
    <row r="143" spans="1:33" s="10" customFormat="1" ht="11.25" customHeight="1" x14ac:dyDescent="0.2">
      <c r="A143" s="136" t="s">
        <v>240</v>
      </c>
      <c r="B143" s="9" t="s">
        <v>45</v>
      </c>
      <c r="C143" s="159" t="s">
        <v>35</v>
      </c>
      <c r="D143" s="163">
        <v>3233.486920196553</v>
      </c>
      <c r="E143" s="163">
        <v>1622.7799999999997</v>
      </c>
      <c r="F143" s="164">
        <v>50.186688242467248</v>
      </c>
      <c r="G143" s="8"/>
      <c r="H143" s="163">
        <v>1906.7799999999997</v>
      </c>
      <c r="I143" s="163">
        <v>1764.7799999999997</v>
      </c>
      <c r="J143" s="163">
        <v>1622.7799999999997</v>
      </c>
      <c r="K143" s="163">
        <v>1480.7799999999997</v>
      </c>
      <c r="L143" s="163">
        <v>1338.78</v>
      </c>
      <c r="M143" s="163">
        <v>1622.7799999999997</v>
      </c>
      <c r="N143" s="1"/>
      <c r="O143" s="9"/>
      <c r="P143" s="8">
        <v>117.500831905742</v>
      </c>
      <c r="Q143" s="163">
        <v>108.75041595287101</v>
      </c>
      <c r="R143" s="163">
        <v>100</v>
      </c>
      <c r="S143" s="163">
        <v>91.249584047128991</v>
      </c>
      <c r="T143" s="163">
        <v>82.49916809425801</v>
      </c>
      <c r="U143" s="8">
        <v>100</v>
      </c>
      <c r="V143" s="8"/>
      <c r="W143" s="8"/>
      <c r="X143" s="8"/>
      <c r="Y143" s="8"/>
      <c r="Z143" s="8"/>
      <c r="AA143" s="8"/>
      <c r="AB143" s="8"/>
      <c r="AC143" s="8"/>
      <c r="AD143" s="8"/>
      <c r="AE143" s="1"/>
      <c r="AF143" s="1"/>
      <c r="AG143" s="9"/>
    </row>
    <row r="144" spans="1:33" s="5" customFormat="1" ht="11.25" customHeight="1" x14ac:dyDescent="0.2">
      <c r="A144" s="136" t="s">
        <v>240</v>
      </c>
      <c r="B144" s="1" t="s">
        <v>44</v>
      </c>
      <c r="C144" s="162" t="s">
        <v>35</v>
      </c>
      <c r="D144" s="177">
        <v>0</v>
      </c>
      <c r="E144" s="177">
        <v>0</v>
      </c>
      <c r="F144" s="164"/>
      <c r="G144" s="8"/>
      <c r="H144" s="177">
        <v>0</v>
      </c>
      <c r="I144" s="177">
        <v>0</v>
      </c>
      <c r="J144" s="177">
        <v>0</v>
      </c>
      <c r="K144" s="177">
        <v>0</v>
      </c>
      <c r="L144" s="177">
        <v>0</v>
      </c>
      <c r="M144" s="177">
        <v>0</v>
      </c>
      <c r="N144" s="1"/>
      <c r="O144" s="1"/>
      <c r="P144" s="4"/>
      <c r="Q144" s="177"/>
      <c r="R144" s="177"/>
      <c r="S144" s="177"/>
      <c r="T144" s="177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1"/>
      <c r="AF144" s="1"/>
      <c r="AG144" s="1"/>
    </row>
    <row r="145" spans="1:33" s="5" customFormat="1" ht="11.25" customHeight="1" x14ac:dyDescent="0.2">
      <c r="A145" s="136" t="s">
        <v>240</v>
      </c>
      <c r="B145" s="151" t="s">
        <v>43</v>
      </c>
      <c r="C145" s="165"/>
      <c r="D145" s="171"/>
      <c r="E145" s="171"/>
      <c r="F145" s="170"/>
      <c r="G145" s="8"/>
      <c r="H145" s="171"/>
      <c r="I145" s="171"/>
      <c r="J145" s="171"/>
      <c r="K145" s="171"/>
      <c r="L145" s="171"/>
      <c r="M145" s="171"/>
      <c r="N145" s="1"/>
      <c r="O145" s="1"/>
      <c r="P145" s="156"/>
      <c r="Q145" s="171"/>
      <c r="R145" s="171"/>
      <c r="S145" s="171"/>
      <c r="T145" s="171"/>
      <c r="U145" s="156"/>
      <c r="V145" s="4"/>
      <c r="W145" s="4"/>
      <c r="X145" s="4"/>
      <c r="Y145" s="4"/>
      <c r="Z145" s="4"/>
      <c r="AA145" s="4"/>
      <c r="AB145" s="4"/>
      <c r="AC145" s="4"/>
      <c r="AD145" s="4"/>
      <c r="AE145" s="1"/>
      <c r="AF145" s="1"/>
      <c r="AG145" s="1"/>
    </row>
    <row r="146" spans="1:33" s="5" customFormat="1" ht="11.25" customHeight="1" x14ac:dyDescent="0.2">
      <c r="A146" s="136" t="s">
        <v>240</v>
      </c>
      <c r="B146" s="152" t="s">
        <v>42</v>
      </c>
      <c r="C146" s="165" t="s">
        <v>35</v>
      </c>
      <c r="D146" s="171">
        <v>3233.486920196553</v>
      </c>
      <c r="E146" s="171">
        <v>1622.7799999999997</v>
      </c>
      <c r="F146" s="172">
        <v>50.186688242467248</v>
      </c>
      <c r="G146" s="8"/>
      <c r="H146" s="171">
        <v>1906.7799999999997</v>
      </c>
      <c r="I146" s="171">
        <v>1764.7799999999997</v>
      </c>
      <c r="J146" s="171">
        <v>1622.7799999999997</v>
      </c>
      <c r="K146" s="171">
        <v>1480.7799999999997</v>
      </c>
      <c r="L146" s="171">
        <v>1338.78</v>
      </c>
      <c r="M146" s="171">
        <v>1622.7799999999997</v>
      </c>
      <c r="N146" s="1"/>
      <c r="O146" s="1"/>
      <c r="P146" s="156">
        <v>117.500831905742</v>
      </c>
      <c r="Q146" s="171">
        <v>108.75041595287101</v>
      </c>
      <c r="R146" s="171">
        <v>100</v>
      </c>
      <c r="S146" s="171">
        <v>91.249584047128991</v>
      </c>
      <c r="T146" s="171">
        <v>82.49916809425801</v>
      </c>
      <c r="U146" s="156">
        <v>100</v>
      </c>
      <c r="V146" s="4"/>
      <c r="W146" s="4"/>
      <c r="X146" s="4"/>
      <c r="Y146" s="4"/>
      <c r="Z146" s="4"/>
      <c r="AA146" s="4"/>
      <c r="AB146" s="4"/>
      <c r="AC146" s="4"/>
      <c r="AD146" s="4"/>
      <c r="AE146" s="1"/>
      <c r="AF146" s="1"/>
      <c r="AG146" s="1"/>
    </row>
    <row r="147" spans="1:33" s="5" customFormat="1" ht="11.25" customHeight="1" x14ac:dyDescent="0.2">
      <c r="A147" s="136" t="s">
        <v>240</v>
      </c>
      <c r="B147" s="152" t="s">
        <v>41</v>
      </c>
      <c r="C147" s="165" t="s">
        <v>35</v>
      </c>
      <c r="D147" s="171">
        <v>2734.6927014263342</v>
      </c>
      <c r="E147" s="171">
        <v>2564.449193728894</v>
      </c>
      <c r="F147" s="172">
        <v>93.774675026241667</v>
      </c>
      <c r="G147" s="8"/>
      <c r="H147" s="171">
        <v>2882.6031575451298</v>
      </c>
      <c r="I147" s="171">
        <v>2705.6646781399882</v>
      </c>
      <c r="J147" s="171">
        <v>2564.449193728894</v>
      </c>
      <c r="K147" s="171">
        <v>2422.4822841635314</v>
      </c>
      <c r="L147" s="171">
        <v>2249.660941831045</v>
      </c>
      <c r="M147" s="171">
        <v>2458.7886324697574</v>
      </c>
      <c r="N147" s="1"/>
      <c r="O147" s="1"/>
      <c r="P147" s="156">
        <v>112.40632743258278</v>
      </c>
      <c r="Q147" s="171">
        <v>105.50665947121989</v>
      </c>
      <c r="R147" s="171">
        <v>100</v>
      </c>
      <c r="S147" s="171">
        <v>94.464038908919363</v>
      </c>
      <c r="T147" s="171">
        <v>87.724917589803212</v>
      </c>
      <c r="U147" s="156">
        <v>95.879795103076376</v>
      </c>
      <c r="V147" s="4"/>
      <c r="W147" s="4"/>
      <c r="X147" s="4"/>
      <c r="Y147" s="4"/>
      <c r="Z147" s="4"/>
      <c r="AA147" s="4"/>
      <c r="AB147" s="4"/>
      <c r="AC147" s="4"/>
      <c r="AD147" s="4"/>
      <c r="AE147" s="1"/>
      <c r="AF147" s="1"/>
      <c r="AG147" s="1"/>
    </row>
    <row r="148" spans="1:33" s="5" customFormat="1" ht="11.25" customHeight="1" x14ac:dyDescent="0.2">
      <c r="A148" s="136" t="s">
        <v>240</v>
      </c>
      <c r="B148" s="152" t="s">
        <v>40</v>
      </c>
      <c r="C148" s="165" t="s">
        <v>35</v>
      </c>
      <c r="D148" s="171">
        <v>2289.9550834489919</v>
      </c>
      <c r="E148" s="171">
        <v>2080.2581171505458</v>
      </c>
      <c r="F148" s="172">
        <v>90.842747623564151</v>
      </c>
      <c r="G148" s="8"/>
      <c r="H148" s="171">
        <v>2370.3741266503457</v>
      </c>
      <c r="I148" s="171">
        <v>2218.8091085748983</v>
      </c>
      <c r="J148" s="171">
        <v>2080.2581171505458</v>
      </c>
      <c r="K148" s="171">
        <v>1941.0093565491475</v>
      </c>
      <c r="L148" s="171">
        <v>1771.3949459477487</v>
      </c>
      <c r="M148" s="171">
        <v>2049.5337945959486</v>
      </c>
      <c r="N148" s="1"/>
      <c r="O148" s="1"/>
      <c r="P148" s="156">
        <v>113.94615442708567</v>
      </c>
      <c r="Q148" s="171">
        <v>106.66027885107519</v>
      </c>
      <c r="R148" s="171">
        <v>100</v>
      </c>
      <c r="S148" s="171">
        <v>93.306178716315472</v>
      </c>
      <c r="T148" s="171">
        <v>85.152651555285573</v>
      </c>
      <c r="U148" s="156">
        <v>98.523052389446647</v>
      </c>
      <c r="V148" s="4"/>
      <c r="W148" s="4"/>
      <c r="X148" s="4"/>
      <c r="Y148" s="4"/>
      <c r="Z148" s="4"/>
      <c r="AA148" s="4"/>
      <c r="AB148" s="4"/>
      <c r="AC148" s="4"/>
      <c r="AD148" s="4"/>
      <c r="AE148" s="1"/>
      <c r="AF148" s="1"/>
      <c r="AG148" s="1"/>
    </row>
    <row r="149" spans="1:33" s="5" customFormat="1" ht="11.25" customHeight="1" x14ac:dyDescent="0.2">
      <c r="A149" s="136" t="s">
        <v>240</v>
      </c>
      <c r="B149" s="152" t="s">
        <v>39</v>
      </c>
      <c r="C149" s="165" t="s">
        <v>35</v>
      </c>
      <c r="D149" s="171">
        <v>145.33251247432247</v>
      </c>
      <c r="E149" s="171">
        <v>145.08355791533032</v>
      </c>
      <c r="F149" s="172">
        <v>99.828700023997627</v>
      </c>
      <c r="G149" s="8"/>
      <c r="H149" s="171">
        <v>154.96872965024741</v>
      </c>
      <c r="I149" s="171">
        <v>146.49089960969113</v>
      </c>
      <c r="J149" s="171">
        <v>145.08355791533032</v>
      </c>
      <c r="K149" s="171">
        <v>143.67054510778797</v>
      </c>
      <c r="L149" s="171">
        <v>142.25753230024566</v>
      </c>
      <c r="M149" s="171">
        <v>119.40565263442727</v>
      </c>
      <c r="N149" s="1"/>
      <c r="O149" s="1"/>
      <c r="P149" s="156">
        <v>106.81343349787851</v>
      </c>
      <c r="Q149" s="171">
        <v>100.97002149284353</v>
      </c>
      <c r="R149" s="171">
        <v>100</v>
      </c>
      <c r="S149" s="171">
        <v>99.026069647142947</v>
      </c>
      <c r="T149" s="171">
        <v>98.052139294285908</v>
      </c>
      <c r="U149" s="156">
        <v>82.301298886060906</v>
      </c>
      <c r="V149" s="4"/>
      <c r="W149" s="4"/>
      <c r="X149" s="4"/>
      <c r="Y149" s="4"/>
      <c r="Z149" s="4"/>
      <c r="AA149" s="4"/>
      <c r="AB149" s="4"/>
      <c r="AC149" s="4"/>
      <c r="AD149" s="4"/>
      <c r="AE149" s="1"/>
      <c r="AF149" s="1"/>
      <c r="AG149" s="1"/>
    </row>
    <row r="150" spans="1:33" s="10" customFormat="1" ht="11.25" customHeight="1" x14ac:dyDescent="0.2">
      <c r="A150" s="136" t="s">
        <v>240</v>
      </c>
      <c r="B150" s="151" t="s">
        <v>38</v>
      </c>
      <c r="C150" s="168" t="s">
        <v>35</v>
      </c>
      <c r="D150" s="169">
        <v>299.40510550301985</v>
      </c>
      <c r="E150" s="169">
        <v>339.10751866301791</v>
      </c>
      <c r="F150" s="170">
        <v>113.26043291522882</v>
      </c>
      <c r="G150" s="8"/>
      <c r="H150" s="169">
        <v>357.26030124453666</v>
      </c>
      <c r="I150" s="169">
        <v>340.36466995539865</v>
      </c>
      <c r="J150" s="169">
        <v>339.10751866301791</v>
      </c>
      <c r="K150" s="169">
        <v>337.80238250659596</v>
      </c>
      <c r="L150" s="169">
        <v>336.00846358305057</v>
      </c>
      <c r="M150" s="169">
        <v>289.84918523938154</v>
      </c>
      <c r="N150" s="1"/>
      <c r="O150" s="9"/>
      <c r="P150" s="155">
        <v>105.35310530804176</v>
      </c>
      <c r="Q150" s="169">
        <v>100.37072350897355</v>
      </c>
      <c r="R150" s="169">
        <v>100</v>
      </c>
      <c r="S150" s="169">
        <v>99.6151261518566</v>
      </c>
      <c r="T150" s="169">
        <v>99.086114312007652</v>
      </c>
      <c r="U150" s="155">
        <v>85.474125251529458</v>
      </c>
      <c r="V150" s="8"/>
      <c r="W150" s="8"/>
      <c r="X150" s="8"/>
      <c r="Y150" s="8"/>
      <c r="Z150" s="8"/>
      <c r="AA150" s="8"/>
      <c r="AB150" s="8"/>
      <c r="AC150" s="8"/>
      <c r="AD150" s="8"/>
      <c r="AE150" s="1"/>
      <c r="AF150" s="1"/>
      <c r="AG150" s="9"/>
    </row>
    <row r="151" spans="1:33" s="5" customFormat="1" ht="11.25" customHeight="1" x14ac:dyDescent="0.2">
      <c r="A151" s="136" t="s">
        <v>240</v>
      </c>
      <c r="B151" s="152" t="s">
        <v>37</v>
      </c>
      <c r="C151" s="165" t="s">
        <v>35</v>
      </c>
      <c r="D151" s="171">
        <v>943.5318367475611</v>
      </c>
      <c r="E151" s="171">
        <v>-457.47811715054604</v>
      </c>
      <c r="F151" s="172"/>
      <c r="G151" s="8"/>
      <c r="H151" s="171">
        <v>-463.59412665034597</v>
      </c>
      <c r="I151" s="171">
        <v>-454.0291085748986</v>
      </c>
      <c r="J151" s="171">
        <v>-457.47811715054604</v>
      </c>
      <c r="K151" s="171">
        <v>-460.22935654914772</v>
      </c>
      <c r="L151" s="171">
        <v>-432.61494594774877</v>
      </c>
      <c r="M151" s="171">
        <v>-426.75379459594888</v>
      </c>
      <c r="N151" s="1"/>
      <c r="O151" s="1"/>
      <c r="P151" s="156"/>
      <c r="Q151" s="171"/>
      <c r="R151" s="171"/>
      <c r="S151" s="171"/>
      <c r="T151" s="171"/>
      <c r="U151" s="156"/>
      <c r="V151" s="4"/>
      <c r="W151" s="4"/>
      <c r="X151" s="4"/>
      <c r="Y151" s="4"/>
      <c r="Z151" s="4"/>
      <c r="AA151" s="4"/>
      <c r="AB151" s="4"/>
      <c r="AC151" s="4"/>
      <c r="AD151" s="4"/>
      <c r="AE151" s="1"/>
      <c r="AF151" s="1"/>
      <c r="AG151" s="1"/>
    </row>
    <row r="152" spans="1:33" s="10" customFormat="1" ht="11.25" customHeight="1" x14ac:dyDescent="0.2">
      <c r="A152" s="136" t="s">
        <v>240</v>
      </c>
      <c r="B152" s="151" t="s">
        <v>36</v>
      </c>
      <c r="C152" s="168" t="s">
        <v>35</v>
      </c>
      <c r="D152" s="169">
        <v>798.19932427323863</v>
      </c>
      <c r="E152" s="169">
        <v>-602.56167506587633</v>
      </c>
      <c r="F152" s="170"/>
      <c r="G152" s="8"/>
      <c r="H152" s="169">
        <v>-618.56285630059335</v>
      </c>
      <c r="I152" s="169">
        <v>-600.52000818458976</v>
      </c>
      <c r="J152" s="169">
        <v>-602.56167506587633</v>
      </c>
      <c r="K152" s="169">
        <v>-603.89990165693575</v>
      </c>
      <c r="L152" s="169">
        <v>-574.87247824799442</v>
      </c>
      <c r="M152" s="169">
        <v>-546.15944723037614</v>
      </c>
      <c r="N152" s="1"/>
      <c r="O152" s="9"/>
      <c r="P152" s="155"/>
      <c r="Q152" s="169"/>
      <c r="R152" s="169"/>
      <c r="S152" s="169"/>
      <c r="T152" s="169"/>
      <c r="U152" s="155"/>
      <c r="V152" s="8"/>
      <c r="W152" s="8"/>
      <c r="X152" s="8"/>
      <c r="Y152" s="8"/>
      <c r="Z152" s="8"/>
      <c r="AA152" s="8"/>
      <c r="AB152" s="8"/>
      <c r="AC152" s="8"/>
      <c r="AD152" s="8"/>
      <c r="AE152" s="1"/>
      <c r="AF152" s="1"/>
      <c r="AG152" s="9"/>
    </row>
    <row r="153" spans="1:33" s="5" customFormat="1" ht="11.25" customHeight="1" x14ac:dyDescent="0.25">
      <c r="A153" s="136" t="s">
        <v>240</v>
      </c>
      <c r="B153" s="152" t="s">
        <v>34</v>
      </c>
      <c r="C153" s="167" t="s">
        <v>33</v>
      </c>
      <c r="D153" s="171">
        <v>48.119514940461904</v>
      </c>
      <c r="E153" s="171">
        <v>-36.357001117875832</v>
      </c>
      <c r="F153" s="172"/>
      <c r="G153" s="8"/>
      <c r="H153" s="171">
        <v>-35.053585766478399</v>
      </c>
      <c r="I153" s="171">
        <v>-36.114344505741734</v>
      </c>
      <c r="J153" s="171">
        <v>-36.357001117875832</v>
      </c>
      <c r="K153" s="171">
        <v>-36.558871553992262</v>
      </c>
      <c r="L153" s="171">
        <v>-34.917682769307397</v>
      </c>
      <c r="M153" s="171">
        <v>-40.115861915543633</v>
      </c>
      <c r="N153" s="1"/>
      <c r="O153" s="1"/>
      <c r="P153" s="156"/>
      <c r="Q153" s="171"/>
      <c r="R153" s="171"/>
      <c r="S153" s="171"/>
      <c r="T153" s="171"/>
      <c r="U153" s="156"/>
      <c r="V153" s="4"/>
      <c r="W153" s="4"/>
      <c r="X153" s="339" t="s">
        <v>231</v>
      </c>
      <c r="Y153" s="340"/>
      <c r="Z153" s="340"/>
      <c r="AA153" s="340"/>
      <c r="AB153" s="340"/>
      <c r="AC153" s="340"/>
      <c r="AD153" s="340"/>
      <c r="AE153" s="340"/>
      <c r="AF153" s="340"/>
      <c r="AG153" s="1"/>
    </row>
    <row r="154" spans="1:33" ht="11.25" customHeight="1" x14ac:dyDescent="0.25">
      <c r="A154" s="136" t="s">
        <v>240</v>
      </c>
      <c r="C154" s="19"/>
      <c r="D154" s="35">
        <v>-9.9536587500885787E-3</v>
      </c>
      <c r="E154" s="35">
        <v>0</v>
      </c>
      <c r="F154" s="36"/>
      <c r="G154" s="36"/>
      <c r="H154" s="328"/>
      <c r="I154" s="328"/>
      <c r="J154" s="328"/>
      <c r="K154" s="328"/>
      <c r="L154" s="328"/>
      <c r="M154" s="328"/>
      <c r="N154" s="35"/>
      <c r="P154" s="4"/>
      <c r="Q154" s="4"/>
      <c r="R154" s="4"/>
      <c r="S154" s="4"/>
      <c r="T154" s="4"/>
      <c r="U154" s="4"/>
      <c r="V154" s="4"/>
      <c r="W154" s="4"/>
      <c r="X154" s="192" t="s">
        <v>261</v>
      </c>
    </row>
    <row r="155" spans="1:33" s="5" customFormat="1" x14ac:dyDescent="0.2">
      <c r="A155" s="136" t="s">
        <v>264</v>
      </c>
      <c r="B155" s="141" t="s">
        <v>148</v>
      </c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  <c r="O155" s="140"/>
      <c r="P155" s="140"/>
      <c r="Q155" s="140"/>
      <c r="R155" s="140"/>
      <c r="S155" s="140"/>
      <c r="T155" s="140"/>
      <c r="U155" s="140"/>
      <c r="V155" s="140"/>
      <c r="W155" s="140"/>
      <c r="X155" s="140"/>
      <c r="Y155" s="140"/>
      <c r="Z155" s="140"/>
      <c r="AA155" s="140"/>
      <c r="AB155" s="140"/>
      <c r="AC155" s="140"/>
      <c r="AD155" s="140"/>
      <c r="AE155" s="140"/>
      <c r="AF155" s="140"/>
      <c r="AG155" s="1"/>
    </row>
    <row r="156" spans="1:33" s="5" customFormat="1" x14ac:dyDescent="0.2">
      <c r="A156" s="136" t="s">
        <v>264</v>
      </c>
      <c r="B156" s="141" t="s">
        <v>149</v>
      </c>
      <c r="C156" s="140"/>
      <c r="D156" s="143" t="s">
        <v>32</v>
      </c>
      <c r="E156" s="143" t="s">
        <v>32</v>
      </c>
      <c r="F156" s="140"/>
      <c r="G156" s="140"/>
      <c r="H156" s="143" t="s">
        <v>144</v>
      </c>
      <c r="I156" s="143" t="s">
        <v>143</v>
      </c>
      <c r="J156" s="143" t="s">
        <v>155</v>
      </c>
      <c r="K156" s="143" t="s">
        <v>200</v>
      </c>
      <c r="L156" s="143" t="s">
        <v>201</v>
      </c>
      <c r="M156" s="143" t="s">
        <v>202</v>
      </c>
      <c r="N156" s="140"/>
      <c r="O156" s="140"/>
      <c r="P156" s="140"/>
      <c r="Q156" s="140"/>
      <c r="R156" s="140"/>
      <c r="S156" s="140"/>
      <c r="T156" s="140"/>
      <c r="U156" s="140"/>
      <c r="V156" s="140"/>
      <c r="W156" s="140"/>
      <c r="X156" s="140"/>
      <c r="Y156" s="140"/>
      <c r="Z156" s="140"/>
      <c r="AA156" s="140"/>
      <c r="AB156" s="140"/>
      <c r="AC156" s="140"/>
      <c r="AD156" s="140"/>
      <c r="AE156" s="140"/>
      <c r="AF156" s="140"/>
      <c r="AG156" s="1"/>
    </row>
    <row r="157" spans="1:33" s="5" customFormat="1" ht="12.75" customHeight="1" x14ac:dyDescent="0.25">
      <c r="A157" s="136" t="s">
        <v>264</v>
      </c>
      <c r="B157" s="149" t="s">
        <v>264</v>
      </c>
      <c r="C157" s="158"/>
      <c r="D157" s="185">
        <v>2022</v>
      </c>
      <c r="E157" s="185">
        <v>2023</v>
      </c>
      <c r="F157" s="341" t="s">
        <v>256</v>
      </c>
      <c r="G157" s="186"/>
      <c r="H157" s="179"/>
      <c r="I157" s="179"/>
      <c r="J157" s="179" t="s">
        <v>258</v>
      </c>
      <c r="K157" s="179"/>
      <c r="L157" s="179"/>
      <c r="M157" s="179"/>
      <c r="N157" s="142"/>
      <c r="O157" s="142"/>
      <c r="P157" s="179"/>
      <c r="Q157" s="179"/>
      <c r="R157" s="179" t="s">
        <v>166</v>
      </c>
      <c r="S157" s="179"/>
      <c r="T157" s="179"/>
      <c r="U157" s="179"/>
      <c r="V157" s="66"/>
      <c r="W157" s="66"/>
      <c r="X157" s="66"/>
      <c r="Y157" s="66"/>
      <c r="Z157" s="66"/>
      <c r="AA157" s="66"/>
      <c r="AB157" s="66"/>
      <c r="AC157" s="66"/>
      <c r="AD157" s="66"/>
      <c r="AE157" s="1"/>
      <c r="AF157" s="1"/>
      <c r="AG157" s="1"/>
    </row>
    <row r="158" spans="1:33" s="5" customFormat="1" ht="12" x14ac:dyDescent="0.25">
      <c r="A158" s="136" t="s">
        <v>264</v>
      </c>
      <c r="B158" s="150" t="s">
        <v>84</v>
      </c>
      <c r="C158" s="158"/>
      <c r="D158" s="185"/>
      <c r="E158" s="330" t="s">
        <v>259</v>
      </c>
      <c r="F158" s="342"/>
      <c r="G158" s="186"/>
      <c r="H158" s="187" t="s">
        <v>83</v>
      </c>
      <c r="I158" s="214" t="s">
        <v>82</v>
      </c>
      <c r="J158" s="185" t="s">
        <v>81</v>
      </c>
      <c r="K158" s="185" t="s">
        <v>80</v>
      </c>
      <c r="L158" s="185" t="s">
        <v>79</v>
      </c>
      <c r="M158" s="205" t="s">
        <v>78</v>
      </c>
      <c r="N158" s="191"/>
      <c r="O158" s="191"/>
      <c r="P158" s="188" t="s">
        <v>83</v>
      </c>
      <c r="Q158" s="225" t="s">
        <v>82</v>
      </c>
      <c r="R158" s="185" t="s">
        <v>81</v>
      </c>
      <c r="S158" s="185" t="s">
        <v>80</v>
      </c>
      <c r="T158" s="226" t="s">
        <v>79</v>
      </c>
      <c r="U158" s="188" t="s">
        <v>78</v>
      </c>
      <c r="V158" s="66"/>
      <c r="W158" s="66"/>
      <c r="X158" s="66"/>
      <c r="Y158" s="66"/>
      <c r="Z158" s="66"/>
      <c r="AA158" s="66"/>
      <c r="AB158" s="66"/>
      <c r="AC158" s="66"/>
      <c r="AD158" s="66"/>
      <c r="AE158" s="1"/>
      <c r="AF158" s="1"/>
      <c r="AG158" s="1"/>
    </row>
    <row r="159" spans="1:33" s="5" customFormat="1" x14ac:dyDescent="0.2">
      <c r="A159" s="136" t="s">
        <v>264</v>
      </c>
      <c r="B159" s="9" t="s">
        <v>96</v>
      </c>
      <c r="C159" s="159" t="s">
        <v>20</v>
      </c>
      <c r="D159" s="160">
        <v>40000</v>
      </c>
      <c r="E159" s="160">
        <v>40000</v>
      </c>
      <c r="F159" s="160"/>
      <c r="G159" s="78"/>
      <c r="H159" s="178">
        <v>50000</v>
      </c>
      <c r="I159" s="178">
        <v>40000</v>
      </c>
      <c r="J159" s="178">
        <v>30000</v>
      </c>
      <c r="K159" s="178">
        <v>25000</v>
      </c>
      <c r="L159" s="178">
        <v>30000</v>
      </c>
      <c r="M159" s="178">
        <v>40000</v>
      </c>
      <c r="N159" s="2"/>
      <c r="O159" s="2"/>
      <c r="P159" s="62">
        <v>125</v>
      </c>
      <c r="Q159" s="62">
        <v>100</v>
      </c>
      <c r="R159" s="62">
        <v>75</v>
      </c>
      <c r="S159" s="62">
        <v>62.5</v>
      </c>
      <c r="T159" s="62">
        <v>75</v>
      </c>
      <c r="U159" s="62">
        <v>100</v>
      </c>
      <c r="V159" s="82"/>
      <c r="W159" s="82"/>
      <c r="X159" s="82"/>
      <c r="Y159" s="82"/>
      <c r="Z159" s="82"/>
      <c r="AA159" s="82"/>
      <c r="AB159" s="82"/>
      <c r="AC159" s="82"/>
      <c r="AD159" s="82"/>
      <c r="AE159" s="1"/>
      <c r="AF159" s="1"/>
      <c r="AG159" s="1"/>
    </row>
    <row r="160" spans="1:33" s="5" customFormat="1" x14ac:dyDescent="0.2">
      <c r="A160" s="136" t="s">
        <v>264</v>
      </c>
      <c r="B160" s="9" t="s">
        <v>94</v>
      </c>
      <c r="C160" s="159" t="s">
        <v>20</v>
      </c>
      <c r="D160" s="160">
        <v>8000</v>
      </c>
      <c r="E160" s="160">
        <v>8000</v>
      </c>
      <c r="F160" s="160"/>
      <c r="G160" s="78"/>
      <c r="H160" s="161">
        <v>10000</v>
      </c>
      <c r="I160" s="161">
        <v>8000</v>
      </c>
      <c r="J160" s="161">
        <v>6000</v>
      </c>
      <c r="K160" s="161">
        <v>5000</v>
      </c>
      <c r="L160" s="161">
        <v>6000</v>
      </c>
      <c r="M160" s="161">
        <v>8000</v>
      </c>
      <c r="N160" s="1"/>
      <c r="O160" s="1"/>
      <c r="P160" s="82">
        <v>125</v>
      </c>
      <c r="Q160" s="82">
        <v>100</v>
      </c>
      <c r="R160" s="82">
        <v>75</v>
      </c>
      <c r="S160" s="82">
        <v>62.5</v>
      </c>
      <c r="T160" s="82">
        <v>75</v>
      </c>
      <c r="U160" s="82">
        <v>100</v>
      </c>
      <c r="V160" s="82"/>
      <c r="W160" s="82"/>
      <c r="X160" s="82"/>
      <c r="Y160" s="82"/>
      <c r="Z160" s="82"/>
      <c r="AA160" s="82"/>
      <c r="AB160" s="82"/>
      <c r="AC160" s="82"/>
      <c r="AD160" s="82"/>
      <c r="AE160" s="1"/>
      <c r="AF160" s="1"/>
      <c r="AG160" s="1"/>
    </row>
    <row r="161" spans="1:33" s="5" customFormat="1" ht="6" customHeight="1" x14ac:dyDescent="0.2">
      <c r="A161" s="136" t="s">
        <v>264</v>
      </c>
      <c r="B161" s="9"/>
      <c r="C161" s="162"/>
      <c r="D161" s="161"/>
      <c r="E161" s="161"/>
      <c r="F161" s="161"/>
      <c r="G161" s="137"/>
      <c r="H161" s="161"/>
      <c r="I161" s="161"/>
      <c r="J161" s="161"/>
      <c r="K161" s="161"/>
      <c r="L161" s="161"/>
      <c r="M161" s="161"/>
      <c r="N161" s="1"/>
      <c r="O161" s="1"/>
      <c r="P161" s="84"/>
      <c r="Q161" s="84"/>
      <c r="R161" s="84"/>
      <c r="S161" s="84"/>
      <c r="T161" s="84"/>
      <c r="U161" s="84"/>
      <c r="V161" s="82"/>
      <c r="W161" s="82"/>
      <c r="X161" s="82"/>
      <c r="Y161" s="82"/>
      <c r="Z161" s="82"/>
      <c r="AA161" s="82"/>
      <c r="AB161" s="82"/>
      <c r="AC161" s="82"/>
      <c r="AD161" s="82"/>
      <c r="AE161" s="1"/>
      <c r="AF161" s="1"/>
      <c r="AG161" s="1"/>
    </row>
    <row r="162" spans="1:33" s="5" customFormat="1" ht="11.25" customHeight="1" x14ac:dyDescent="0.2">
      <c r="A162" s="136" t="s">
        <v>264</v>
      </c>
      <c r="B162" s="9" t="s">
        <v>90</v>
      </c>
      <c r="C162" s="159" t="s">
        <v>89</v>
      </c>
      <c r="D162" s="163">
        <v>1</v>
      </c>
      <c r="E162" s="163">
        <v>1</v>
      </c>
      <c r="F162" s="164"/>
      <c r="G162" s="8"/>
      <c r="H162" s="163">
        <v>1</v>
      </c>
      <c r="I162" s="163">
        <v>1</v>
      </c>
      <c r="J162" s="163">
        <v>1</v>
      </c>
      <c r="K162" s="163">
        <v>1</v>
      </c>
      <c r="L162" s="163">
        <v>0.2</v>
      </c>
      <c r="M162" s="163">
        <v>0.5</v>
      </c>
      <c r="N162" s="9"/>
      <c r="O162" s="9"/>
      <c r="P162" s="84">
        <v>100</v>
      </c>
      <c r="Q162" s="84">
        <v>100</v>
      </c>
      <c r="R162" s="84">
        <v>100</v>
      </c>
      <c r="S162" s="84">
        <v>100</v>
      </c>
      <c r="T162" s="84">
        <v>20</v>
      </c>
      <c r="U162" s="84">
        <v>50</v>
      </c>
      <c r="V162" s="26"/>
      <c r="W162" s="26"/>
      <c r="X162" s="26"/>
      <c r="Y162" s="26"/>
      <c r="Z162" s="26"/>
      <c r="AA162" s="26"/>
      <c r="AB162" s="26"/>
      <c r="AC162" s="26"/>
      <c r="AD162" s="26"/>
      <c r="AE162" s="1"/>
      <c r="AF162" s="1"/>
      <c r="AG162" s="1"/>
    </row>
    <row r="163" spans="1:33" s="5" customFormat="1" ht="11.25" customHeight="1" x14ac:dyDescent="0.2">
      <c r="A163" s="136" t="s">
        <v>264</v>
      </c>
      <c r="B163" s="151" t="s">
        <v>62</v>
      </c>
      <c r="C163" s="165"/>
      <c r="D163" s="166"/>
      <c r="E163" s="166"/>
      <c r="F163" s="167"/>
      <c r="G163" s="1"/>
      <c r="H163" s="166"/>
      <c r="I163" s="166"/>
      <c r="J163" s="166"/>
      <c r="K163" s="166"/>
      <c r="L163" s="166"/>
      <c r="M163" s="166"/>
      <c r="N163" s="1"/>
      <c r="O163" s="1"/>
      <c r="P163" s="154"/>
      <c r="Q163" s="154"/>
      <c r="R163" s="154"/>
      <c r="S163" s="154"/>
      <c r="T163" s="154"/>
      <c r="U163" s="154"/>
      <c r="V163" s="76"/>
      <c r="W163" s="76"/>
      <c r="X163" s="76"/>
      <c r="Y163" s="76"/>
      <c r="Z163" s="76"/>
      <c r="AA163" s="76"/>
      <c r="AB163" s="76"/>
      <c r="AC163" s="76"/>
      <c r="AD163" s="76"/>
      <c r="AE163" s="1"/>
      <c r="AF163" s="1"/>
      <c r="AG163" s="1"/>
    </row>
    <row r="164" spans="1:33" s="10" customFormat="1" ht="11.25" customHeight="1" x14ac:dyDescent="0.2">
      <c r="A164" s="136" t="s">
        <v>264</v>
      </c>
      <c r="B164" s="151" t="s">
        <v>61</v>
      </c>
      <c r="C164" s="168" t="s">
        <v>35</v>
      </c>
      <c r="D164" s="169">
        <v>6271.0458993436005</v>
      </c>
      <c r="E164" s="169">
        <v>6858.0588388538335</v>
      </c>
      <c r="F164" s="170">
        <v>109.36068638202244</v>
      </c>
      <c r="G164" s="8"/>
      <c r="H164" s="169">
        <v>7165.4404441681581</v>
      </c>
      <c r="I164" s="169">
        <v>6858.0588388538335</v>
      </c>
      <c r="J164" s="169">
        <v>6488.4356984275191</v>
      </c>
      <c r="K164" s="169">
        <v>6174.8803133883948</v>
      </c>
      <c r="L164" s="169">
        <v>6664.0307328355884</v>
      </c>
      <c r="M164" s="169">
        <v>6929.337654472547</v>
      </c>
      <c r="N164" s="1"/>
      <c r="O164" s="9"/>
      <c r="P164" s="155">
        <v>104.48204969564969</v>
      </c>
      <c r="Q164" s="155">
        <v>100</v>
      </c>
      <c r="R164" s="155">
        <v>94.61038248414782</v>
      </c>
      <c r="S164" s="155">
        <v>90.038310526078604</v>
      </c>
      <c r="T164" s="155">
        <v>97.170801380136993</v>
      </c>
      <c r="U164" s="155">
        <v>101.03934389152347</v>
      </c>
      <c r="V164" s="8"/>
      <c r="W164" s="8"/>
      <c r="X164" s="8"/>
      <c r="Y164" s="8"/>
      <c r="Z164" s="8"/>
      <c r="AA164" s="8"/>
      <c r="AB164" s="8"/>
      <c r="AC164" s="8"/>
      <c r="AD164" s="8"/>
      <c r="AE164" s="9"/>
      <c r="AF164" s="9"/>
      <c r="AG164" s="9"/>
    </row>
    <row r="165" spans="1:33" s="5" customFormat="1" ht="11.25" customHeight="1" x14ac:dyDescent="0.2">
      <c r="A165" s="136" t="s">
        <v>264</v>
      </c>
      <c r="B165" s="152" t="s">
        <v>60</v>
      </c>
      <c r="C165" s="165" t="s">
        <v>35</v>
      </c>
      <c r="D165" s="171">
        <v>2850</v>
      </c>
      <c r="E165" s="171">
        <v>3108</v>
      </c>
      <c r="F165" s="172">
        <v>109.05263157894738</v>
      </c>
      <c r="G165" s="8"/>
      <c r="H165" s="171">
        <v>3108</v>
      </c>
      <c r="I165" s="171">
        <v>3108</v>
      </c>
      <c r="J165" s="171">
        <v>3108</v>
      </c>
      <c r="K165" s="171">
        <v>3108</v>
      </c>
      <c r="L165" s="171">
        <v>3108</v>
      </c>
      <c r="M165" s="171">
        <v>3108</v>
      </c>
      <c r="N165" s="1"/>
      <c r="O165" s="1"/>
      <c r="P165" s="156">
        <v>100</v>
      </c>
      <c r="Q165" s="156">
        <v>100</v>
      </c>
      <c r="R165" s="156">
        <v>100</v>
      </c>
      <c r="S165" s="156">
        <v>100</v>
      </c>
      <c r="T165" s="156">
        <v>100</v>
      </c>
      <c r="U165" s="156">
        <v>100</v>
      </c>
      <c r="V165" s="4"/>
      <c r="W165" s="4"/>
      <c r="X165" s="4"/>
      <c r="Y165" s="4"/>
      <c r="Z165" s="4"/>
      <c r="AA165" s="4"/>
      <c r="AB165" s="4"/>
      <c r="AC165" s="4"/>
      <c r="AD165" s="4"/>
      <c r="AE165" s="1"/>
      <c r="AF165" s="1"/>
      <c r="AG165" s="1"/>
    </row>
    <row r="166" spans="1:33" s="5" customFormat="1" ht="11.25" customHeight="1" x14ac:dyDescent="0.2">
      <c r="A166" s="136" t="s">
        <v>264</v>
      </c>
      <c r="B166" s="152" t="s">
        <v>59</v>
      </c>
      <c r="C166" s="165" t="s">
        <v>35</v>
      </c>
      <c r="D166" s="171">
        <v>773.54335774550918</v>
      </c>
      <c r="E166" s="171">
        <v>957.2599226458716</v>
      </c>
      <c r="F166" s="172">
        <v>123.75000225401766</v>
      </c>
      <c r="G166" s="8"/>
      <c r="H166" s="171">
        <v>1036.4842791180483</v>
      </c>
      <c r="I166" s="171">
        <v>957.2599226458716</v>
      </c>
      <c r="J166" s="171">
        <v>862.1369608223672</v>
      </c>
      <c r="K166" s="171">
        <v>806.41737753990537</v>
      </c>
      <c r="L166" s="171">
        <v>862.1369608223672</v>
      </c>
      <c r="M166" s="171">
        <v>957.2599226458716</v>
      </c>
      <c r="N166" s="1"/>
      <c r="O166" s="1"/>
      <c r="P166" s="156">
        <v>108.27615933749742</v>
      </c>
      <c r="Q166" s="156">
        <v>100</v>
      </c>
      <c r="R166" s="156">
        <v>90.062995475608759</v>
      </c>
      <c r="S166" s="156">
        <v>84.242258394247131</v>
      </c>
      <c r="T166" s="156">
        <v>90.062995475608759</v>
      </c>
      <c r="U166" s="156">
        <v>100</v>
      </c>
      <c r="V166" s="4"/>
      <c r="W166" s="4"/>
      <c r="X166" s="4"/>
      <c r="Y166" s="4"/>
      <c r="Z166" s="4"/>
      <c r="AA166" s="4"/>
      <c r="AB166" s="4"/>
      <c r="AC166" s="4"/>
      <c r="AD166" s="4"/>
      <c r="AE166" s="1"/>
      <c r="AF166" s="1"/>
      <c r="AG166" s="1"/>
    </row>
    <row r="167" spans="1:33" s="5" customFormat="1" ht="11.25" customHeight="1" x14ac:dyDescent="0.2">
      <c r="A167" s="136" t="s">
        <v>264</v>
      </c>
      <c r="B167" s="152" t="s">
        <v>58</v>
      </c>
      <c r="C167" s="165" t="s">
        <v>35</v>
      </c>
      <c r="D167" s="171">
        <v>555.27575999999999</v>
      </c>
      <c r="E167" s="171">
        <v>671.44152000000008</v>
      </c>
      <c r="F167" s="172">
        <v>120.92037296927928</v>
      </c>
      <c r="G167" s="8"/>
      <c r="H167" s="171">
        <v>671.44152000000008</v>
      </c>
      <c r="I167" s="171">
        <v>671.44152000000008</v>
      </c>
      <c r="J167" s="171">
        <v>671.44152000000008</v>
      </c>
      <c r="K167" s="171">
        <v>562.58712000000003</v>
      </c>
      <c r="L167" s="171">
        <v>671.44152000000008</v>
      </c>
      <c r="M167" s="171">
        <v>671.44152000000008</v>
      </c>
      <c r="N167" s="1"/>
      <c r="O167" s="1"/>
      <c r="P167" s="156">
        <v>100</v>
      </c>
      <c r="Q167" s="156">
        <v>100</v>
      </c>
      <c r="R167" s="156">
        <v>100</v>
      </c>
      <c r="S167" s="156">
        <v>83.78795520420006</v>
      </c>
      <c r="T167" s="156">
        <v>100</v>
      </c>
      <c r="U167" s="156">
        <v>100</v>
      </c>
      <c r="V167" s="4"/>
      <c r="W167" s="4"/>
      <c r="X167" s="4"/>
      <c r="Y167" s="4"/>
      <c r="Z167" s="4"/>
      <c r="AA167" s="4"/>
      <c r="AB167" s="4"/>
      <c r="AC167" s="4"/>
      <c r="AD167" s="4"/>
      <c r="AE167" s="1"/>
      <c r="AF167" s="1"/>
      <c r="AG167" s="1"/>
    </row>
    <row r="168" spans="1:33" s="5" customFormat="1" ht="11.25" customHeight="1" x14ac:dyDescent="0.2">
      <c r="A168" s="136" t="s">
        <v>264</v>
      </c>
      <c r="B168" s="152" t="s">
        <v>57</v>
      </c>
      <c r="C168" s="165" t="s">
        <v>35</v>
      </c>
      <c r="D168" s="171">
        <v>0</v>
      </c>
      <c r="E168" s="171">
        <v>0</v>
      </c>
      <c r="F168" s="172"/>
      <c r="G168" s="8"/>
      <c r="H168" s="171">
        <v>0</v>
      </c>
      <c r="I168" s="171">
        <v>0</v>
      </c>
      <c r="J168" s="171">
        <v>0</v>
      </c>
      <c r="K168" s="171">
        <v>0</v>
      </c>
      <c r="L168" s="171">
        <v>0</v>
      </c>
      <c r="M168" s="171">
        <v>0</v>
      </c>
      <c r="N168" s="1"/>
      <c r="O168" s="1"/>
      <c r="P168" s="156"/>
      <c r="Q168" s="156"/>
      <c r="R168" s="156"/>
      <c r="S168" s="156"/>
      <c r="T168" s="156"/>
      <c r="U168" s="156"/>
      <c r="V168" s="4"/>
      <c r="W168" s="4"/>
      <c r="X168" s="4"/>
      <c r="Y168" s="4"/>
      <c r="Z168" s="4"/>
      <c r="AA168" s="4"/>
      <c r="AB168" s="4"/>
      <c r="AC168" s="4"/>
      <c r="AD168" s="4"/>
      <c r="AE168" s="1"/>
      <c r="AF168" s="1"/>
      <c r="AG168" s="1"/>
    </row>
    <row r="169" spans="1:33" s="5" customFormat="1" ht="11.25" customHeight="1" x14ac:dyDescent="0.2">
      <c r="A169" s="136" t="s">
        <v>264</v>
      </c>
      <c r="B169" s="152" t="s">
        <v>56</v>
      </c>
      <c r="C169" s="165" t="s">
        <v>35</v>
      </c>
      <c r="D169" s="171">
        <v>118.08000000000001</v>
      </c>
      <c r="E169" s="171">
        <v>118.08000000000001</v>
      </c>
      <c r="F169" s="172">
        <v>100</v>
      </c>
      <c r="G169" s="8"/>
      <c r="H169" s="171">
        <v>118.08000000000001</v>
      </c>
      <c r="I169" s="171">
        <v>118.08000000000001</v>
      </c>
      <c r="J169" s="171">
        <v>88.56</v>
      </c>
      <c r="K169" s="171">
        <v>73.800000000000011</v>
      </c>
      <c r="L169" s="171">
        <v>88.56</v>
      </c>
      <c r="M169" s="171">
        <v>118.08000000000001</v>
      </c>
      <c r="N169" s="1"/>
      <c r="O169" s="1"/>
      <c r="P169" s="156">
        <v>100</v>
      </c>
      <c r="Q169" s="156">
        <v>100</v>
      </c>
      <c r="R169" s="156">
        <v>74.999999999999986</v>
      </c>
      <c r="S169" s="156">
        <v>62.5</v>
      </c>
      <c r="T169" s="156">
        <v>74.999999999999986</v>
      </c>
      <c r="U169" s="156">
        <v>100</v>
      </c>
      <c r="V169" s="4"/>
      <c r="W169" s="4"/>
      <c r="X169" s="4"/>
      <c r="Y169" s="4"/>
      <c r="Z169" s="4"/>
      <c r="AA169" s="4"/>
      <c r="AB169" s="4"/>
      <c r="AC169" s="4"/>
      <c r="AD169" s="4"/>
      <c r="AE169" s="1"/>
      <c r="AF169" s="1"/>
      <c r="AG169" s="1"/>
    </row>
    <row r="170" spans="1:33" s="5" customFormat="1" ht="11.25" customHeight="1" x14ac:dyDescent="0.2">
      <c r="A170" s="136" t="s">
        <v>264</v>
      </c>
      <c r="B170" s="152" t="s">
        <v>55</v>
      </c>
      <c r="C170" s="165" t="s">
        <v>35</v>
      </c>
      <c r="D170" s="171">
        <v>1445.8841443938825</v>
      </c>
      <c r="E170" s="171">
        <v>1393.549699173743</v>
      </c>
      <c r="F170" s="172">
        <v>96.38045375744278</v>
      </c>
      <c r="G170" s="8"/>
      <c r="H170" s="171">
        <v>1505.9856601500408</v>
      </c>
      <c r="I170" s="171">
        <v>1393.549699173743</v>
      </c>
      <c r="J170" s="171">
        <v>1264.9906202175025</v>
      </c>
      <c r="K170" s="171">
        <v>1190.4654229867347</v>
      </c>
      <c r="L170" s="171">
        <v>1433.8459216108201</v>
      </c>
      <c r="M170" s="171">
        <v>1462.0212922654957</v>
      </c>
      <c r="N170" s="1"/>
      <c r="O170" s="1"/>
      <c r="P170" s="156">
        <v>108.06831367714858</v>
      </c>
      <c r="Q170" s="156">
        <v>100</v>
      </c>
      <c r="R170" s="156">
        <v>90.774704409002055</v>
      </c>
      <c r="S170" s="156">
        <v>85.426836494785945</v>
      </c>
      <c r="T170" s="156">
        <v>102.8916243504605</v>
      </c>
      <c r="U170" s="156">
        <v>104.9134661743568</v>
      </c>
      <c r="V170" s="4"/>
      <c r="W170" s="4"/>
      <c r="X170" s="4"/>
      <c r="Y170" s="4"/>
      <c r="Z170" s="4"/>
      <c r="AA170" s="4"/>
      <c r="AB170" s="4"/>
      <c r="AC170" s="4"/>
      <c r="AD170" s="4"/>
      <c r="AE170" s="1"/>
      <c r="AF170" s="1"/>
      <c r="AG170" s="1"/>
    </row>
    <row r="171" spans="1:33" s="10" customFormat="1" ht="11.25" customHeight="1" x14ac:dyDescent="0.2">
      <c r="A171" s="136" t="s">
        <v>264</v>
      </c>
      <c r="B171" s="152" t="s">
        <v>26</v>
      </c>
      <c r="C171" s="165" t="s">
        <v>35</v>
      </c>
      <c r="D171" s="171">
        <v>0</v>
      </c>
      <c r="E171" s="171">
        <v>0</v>
      </c>
      <c r="F171" s="172"/>
      <c r="G171" s="8"/>
      <c r="H171" s="171">
        <v>0</v>
      </c>
      <c r="I171" s="171">
        <v>0</v>
      </c>
      <c r="J171" s="171">
        <v>0</v>
      </c>
      <c r="K171" s="171">
        <v>0</v>
      </c>
      <c r="L171" s="171">
        <v>0</v>
      </c>
      <c r="M171" s="171">
        <v>0</v>
      </c>
      <c r="N171" s="1"/>
      <c r="O171" s="1"/>
      <c r="P171" s="156"/>
      <c r="Q171" s="156"/>
      <c r="R171" s="156"/>
      <c r="S171" s="156"/>
      <c r="T171" s="156"/>
      <c r="U171" s="156"/>
      <c r="V171" s="4"/>
      <c r="W171" s="4"/>
      <c r="X171" s="4"/>
      <c r="Y171" s="4"/>
      <c r="Z171" s="4"/>
      <c r="AA171" s="4"/>
      <c r="AB171" s="4"/>
      <c r="AC171" s="4"/>
      <c r="AD171" s="4"/>
      <c r="AE171" s="1"/>
      <c r="AF171" s="1"/>
      <c r="AG171" s="9"/>
    </row>
    <row r="172" spans="1:33" s="10" customFormat="1" ht="11.25" customHeight="1" x14ac:dyDescent="0.2">
      <c r="A172" s="136" t="s">
        <v>264</v>
      </c>
      <c r="B172" s="151" t="s">
        <v>54</v>
      </c>
      <c r="C172" s="168" t="s">
        <v>35</v>
      </c>
      <c r="D172" s="169">
        <v>3450.1075451729216</v>
      </c>
      <c r="E172" s="169">
        <v>3911.1121399123303</v>
      </c>
      <c r="F172" s="170">
        <v>113.36203549319512</v>
      </c>
      <c r="G172" s="8"/>
      <c r="H172" s="169">
        <v>4481.5544315841253</v>
      </c>
      <c r="I172" s="169">
        <v>3911.1121399123303</v>
      </c>
      <c r="J172" s="169">
        <v>3327.6099770765368</v>
      </c>
      <c r="K172" s="169">
        <v>3026.4810271473552</v>
      </c>
      <c r="L172" s="169">
        <v>3537.6867356190705</v>
      </c>
      <c r="M172" s="169">
        <v>3998.4140718930662</v>
      </c>
      <c r="N172" s="1"/>
      <c r="O172" s="9"/>
      <c r="P172" s="155">
        <v>114.58516839367796</v>
      </c>
      <c r="Q172" s="155">
        <v>100</v>
      </c>
      <c r="R172" s="155">
        <v>85.080914533714363</v>
      </c>
      <c r="S172" s="155">
        <v>77.381596816479814</v>
      </c>
      <c r="T172" s="155">
        <v>90.452193879011858</v>
      </c>
      <c r="U172" s="155">
        <v>102.23215108280411</v>
      </c>
      <c r="V172" s="8"/>
      <c r="W172" s="8"/>
      <c r="X172" s="8"/>
      <c r="Y172" s="8"/>
      <c r="Z172" s="8"/>
      <c r="AA172" s="8"/>
      <c r="AB172" s="8"/>
      <c r="AC172" s="8"/>
      <c r="AD172" s="8"/>
      <c r="AE172" s="1"/>
      <c r="AF172" s="1"/>
      <c r="AG172" s="9"/>
    </row>
    <row r="173" spans="1:33" s="5" customFormat="1" ht="11.25" customHeight="1" x14ac:dyDescent="0.2">
      <c r="A173" s="136" t="s">
        <v>264</v>
      </c>
      <c r="B173" s="152" t="s">
        <v>53</v>
      </c>
      <c r="C173" s="165" t="s">
        <v>35</v>
      </c>
      <c r="D173" s="171">
        <v>1812.3336532536885</v>
      </c>
      <c r="E173" s="171">
        <v>1986.1672700585223</v>
      </c>
      <c r="F173" s="172">
        <v>109.59170053995024</v>
      </c>
      <c r="G173" s="8"/>
      <c r="H173" s="171">
        <v>2285.6625582617949</v>
      </c>
      <c r="I173" s="171">
        <v>1986.1672700585223</v>
      </c>
      <c r="J173" s="171">
        <v>1680.7564931108077</v>
      </c>
      <c r="K173" s="171">
        <v>1524.4267545970658</v>
      </c>
      <c r="L173" s="171">
        <v>1785.1689403649639</v>
      </c>
      <c r="M173" s="171">
        <v>2029.6569711172256</v>
      </c>
      <c r="N173" s="1"/>
      <c r="O173" s="1"/>
      <c r="P173" s="156">
        <v>115.07905666950438</v>
      </c>
      <c r="Q173" s="156">
        <v>100</v>
      </c>
      <c r="R173" s="156">
        <v>84.623108962080735</v>
      </c>
      <c r="S173" s="156">
        <v>76.752183845630924</v>
      </c>
      <c r="T173" s="156">
        <v>89.880090527942485</v>
      </c>
      <c r="U173" s="156">
        <v>102.18962932852185</v>
      </c>
      <c r="V173" s="4"/>
      <c r="W173" s="4"/>
      <c r="X173" s="4"/>
      <c r="Y173" s="4"/>
      <c r="Z173" s="4"/>
      <c r="AA173" s="4"/>
      <c r="AB173" s="4"/>
      <c r="AC173" s="4"/>
      <c r="AD173" s="4"/>
      <c r="AE173" s="1"/>
      <c r="AF173" s="1"/>
      <c r="AG173" s="1"/>
    </row>
    <row r="174" spans="1:33" s="10" customFormat="1" ht="11.25" customHeight="1" x14ac:dyDescent="0.2">
      <c r="A174" s="136" t="s">
        <v>264</v>
      </c>
      <c r="B174" s="151" t="s">
        <v>52</v>
      </c>
      <c r="C174" s="168" t="s">
        <v>35</v>
      </c>
      <c r="D174" s="169">
        <v>9721.1534445165216</v>
      </c>
      <c r="E174" s="169">
        <v>10769.170978766164</v>
      </c>
      <c r="F174" s="170">
        <v>110.78079407172412</v>
      </c>
      <c r="G174" s="8"/>
      <c r="H174" s="169">
        <v>11646.994875752283</v>
      </c>
      <c r="I174" s="169">
        <v>10769.170978766164</v>
      </c>
      <c r="J174" s="169">
        <v>9816.0456755040559</v>
      </c>
      <c r="K174" s="169">
        <v>9201.3613405357501</v>
      </c>
      <c r="L174" s="169">
        <v>10201.717468454659</v>
      </c>
      <c r="M174" s="169">
        <v>10927.751726365614</v>
      </c>
      <c r="N174" s="1"/>
      <c r="O174" s="9"/>
      <c r="P174" s="155">
        <v>108.15126715619007</v>
      </c>
      <c r="Q174" s="155">
        <v>100</v>
      </c>
      <c r="R174" s="155">
        <v>91.149501617706619</v>
      </c>
      <c r="S174" s="155">
        <v>85.441686817660326</v>
      </c>
      <c r="T174" s="155">
        <v>94.730759578147968</v>
      </c>
      <c r="U174" s="155">
        <v>101.47254368894436</v>
      </c>
      <c r="V174" s="8"/>
      <c r="W174" s="8"/>
      <c r="X174" s="8"/>
      <c r="Y174" s="8"/>
      <c r="Z174" s="8"/>
      <c r="AA174" s="8"/>
      <c r="AB174" s="8"/>
      <c r="AC174" s="8"/>
      <c r="AD174" s="8"/>
      <c r="AE174" s="1"/>
      <c r="AF174" s="1"/>
      <c r="AG174" s="9"/>
    </row>
    <row r="175" spans="1:33" s="5" customFormat="1" ht="11.25" customHeight="1" x14ac:dyDescent="0.25">
      <c r="A175" s="136" t="s">
        <v>264</v>
      </c>
      <c r="B175" s="152" t="s">
        <v>5</v>
      </c>
      <c r="C175" s="165" t="s">
        <v>35</v>
      </c>
      <c r="D175" s="171">
        <v>542.40000000000009</v>
      </c>
      <c r="E175" s="171">
        <v>734.40000000000009</v>
      </c>
      <c r="F175" s="172">
        <v>135.39823008849555</v>
      </c>
      <c r="G175" s="8"/>
      <c r="H175" s="171">
        <v>918.00000000000011</v>
      </c>
      <c r="I175" s="171">
        <v>734.40000000000009</v>
      </c>
      <c r="J175" s="171">
        <v>550.80000000000007</v>
      </c>
      <c r="K175" s="171">
        <v>459.00000000000006</v>
      </c>
      <c r="L175" s="171">
        <v>550.80000000000007</v>
      </c>
      <c r="M175" s="171">
        <v>734.40000000000009</v>
      </c>
      <c r="N175" s="1"/>
      <c r="O175" s="1"/>
      <c r="P175" s="156">
        <v>125</v>
      </c>
      <c r="Q175" s="156">
        <v>100</v>
      </c>
      <c r="R175" s="156">
        <v>75</v>
      </c>
      <c r="S175" s="156">
        <v>62.5</v>
      </c>
      <c r="T175" s="156">
        <v>75</v>
      </c>
      <c r="U175" s="156">
        <v>100</v>
      </c>
      <c r="V175" s="4"/>
      <c r="W175" s="4"/>
      <c r="X175" s="339" t="s">
        <v>221</v>
      </c>
      <c r="Y175" s="340"/>
      <c r="Z175" s="340"/>
      <c r="AA175" s="340"/>
      <c r="AB175" s="340"/>
      <c r="AC175" s="340"/>
      <c r="AD175" s="340"/>
      <c r="AE175" s="340"/>
      <c r="AF175" s="340"/>
      <c r="AG175" s="1"/>
    </row>
    <row r="176" spans="1:33" s="5" customFormat="1" ht="11.25" customHeight="1" x14ac:dyDescent="0.25">
      <c r="A176" s="136" t="s">
        <v>264</v>
      </c>
      <c r="B176" s="152" t="s">
        <v>51</v>
      </c>
      <c r="C176" s="165" t="s">
        <v>35</v>
      </c>
      <c r="D176" s="171">
        <v>9178.753444516522</v>
      </c>
      <c r="E176" s="171">
        <v>10034.770978766164</v>
      </c>
      <c r="F176" s="172">
        <v>109.32607613249526</v>
      </c>
      <c r="G176" s="8"/>
      <c r="H176" s="171">
        <v>10728.994875752283</v>
      </c>
      <c r="I176" s="171">
        <v>10034.770978766164</v>
      </c>
      <c r="J176" s="171">
        <v>9265.2456755040566</v>
      </c>
      <c r="K176" s="171">
        <v>8742.3613405357501</v>
      </c>
      <c r="L176" s="171">
        <v>9650.9174684546597</v>
      </c>
      <c r="M176" s="171">
        <v>10193.351726365614</v>
      </c>
      <c r="N176" s="1"/>
      <c r="O176" s="1"/>
      <c r="P176" s="156">
        <v>106.91818376777222</v>
      </c>
      <c r="Q176" s="156">
        <v>100</v>
      </c>
      <c r="R176" s="156">
        <v>92.331411400514838</v>
      </c>
      <c r="S176" s="156">
        <v>87.120686252180676</v>
      </c>
      <c r="T176" s="156">
        <v>96.174765611255623</v>
      </c>
      <c r="U176" s="156">
        <v>101.58031257449733</v>
      </c>
      <c r="V176" s="4"/>
      <c r="W176" s="4"/>
      <c r="X176" s="192" t="s">
        <v>260</v>
      </c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s="5" customFormat="1" ht="11.25" customHeight="1" x14ac:dyDescent="0.2">
      <c r="A177" s="136" t="s">
        <v>264</v>
      </c>
      <c r="B177" s="152" t="s">
        <v>50</v>
      </c>
      <c r="C177" s="165" t="s">
        <v>35</v>
      </c>
      <c r="D177" s="171">
        <v>300.32983446666663</v>
      </c>
      <c r="E177" s="171">
        <v>202.77999999999994</v>
      </c>
      <c r="F177" s="172">
        <v>67.519099579334778</v>
      </c>
      <c r="G177" s="8"/>
      <c r="H177" s="171">
        <v>202.77999999999994</v>
      </c>
      <c r="I177" s="171">
        <v>202.77999999999994</v>
      </c>
      <c r="J177" s="171">
        <v>202.77999999999994</v>
      </c>
      <c r="K177" s="171">
        <v>202.77999999999994</v>
      </c>
      <c r="L177" s="171">
        <v>202.77999999999994</v>
      </c>
      <c r="M177" s="171">
        <v>202.77999999999994</v>
      </c>
      <c r="N177" s="1"/>
      <c r="O177" s="1"/>
      <c r="P177" s="156">
        <v>100</v>
      </c>
      <c r="Q177" s="156">
        <v>100</v>
      </c>
      <c r="R177" s="156">
        <v>100</v>
      </c>
      <c r="S177" s="156">
        <v>100</v>
      </c>
      <c r="T177" s="156">
        <v>100</v>
      </c>
      <c r="U177" s="156">
        <v>100</v>
      </c>
      <c r="V177" s="4"/>
      <c r="W177" s="4"/>
      <c r="X177" s="4"/>
      <c r="Y177" s="4"/>
      <c r="Z177" s="4"/>
      <c r="AA177" s="4"/>
      <c r="AB177" s="4"/>
      <c r="AC177" s="4"/>
      <c r="AD177" s="4"/>
      <c r="AE177" s="1"/>
      <c r="AF177" s="1"/>
      <c r="AG177" s="1"/>
    </row>
    <row r="178" spans="1:33" s="5" customFormat="1" ht="11.25" customHeight="1" x14ac:dyDescent="0.2">
      <c r="A178" s="136" t="s">
        <v>264</v>
      </c>
      <c r="B178" s="151" t="s">
        <v>49</v>
      </c>
      <c r="C178" s="168" t="s">
        <v>35</v>
      </c>
      <c r="D178" s="169">
        <v>8878.4236100498547</v>
      </c>
      <c r="E178" s="169">
        <v>9831.9909787661636</v>
      </c>
      <c r="F178" s="170">
        <v>110.74027789839771</v>
      </c>
      <c r="G178" s="8"/>
      <c r="H178" s="169">
        <v>10526.214875752283</v>
      </c>
      <c r="I178" s="169">
        <v>9831.9909787661636</v>
      </c>
      <c r="J178" s="169">
        <v>9062.465675504056</v>
      </c>
      <c r="K178" s="169">
        <v>8539.5813405357494</v>
      </c>
      <c r="L178" s="169">
        <v>9448.137468454659</v>
      </c>
      <c r="M178" s="169">
        <v>9990.5717263656134</v>
      </c>
      <c r="N178" s="9"/>
      <c r="O178" s="9"/>
      <c r="P178" s="155">
        <v>107.06086792070306</v>
      </c>
      <c r="Q178" s="155">
        <v>100</v>
      </c>
      <c r="R178" s="155">
        <v>92.173250515342957</v>
      </c>
      <c r="S178" s="155">
        <v>86.855056712098403</v>
      </c>
      <c r="T178" s="155">
        <v>96.0958720248981</v>
      </c>
      <c r="U178" s="155">
        <v>101.61290574759407</v>
      </c>
      <c r="V178" s="4"/>
      <c r="W178" s="4"/>
      <c r="X178" s="4"/>
      <c r="Y178" s="4"/>
      <c r="Z178" s="4"/>
      <c r="AA178" s="4"/>
      <c r="AB178" s="4"/>
      <c r="AC178" s="4"/>
      <c r="AD178" s="4"/>
      <c r="AE178" s="1"/>
      <c r="AF178" s="1"/>
      <c r="AG178" s="1"/>
    </row>
    <row r="179" spans="1:33" s="3" customFormat="1" ht="11.25" customHeight="1" x14ac:dyDescent="0.2">
      <c r="A179" s="136" t="s">
        <v>264</v>
      </c>
      <c r="B179" s="153" t="s">
        <v>48</v>
      </c>
      <c r="C179" s="173" t="s">
        <v>46</v>
      </c>
      <c r="D179" s="174">
        <v>0.22196059025124637</v>
      </c>
      <c r="E179" s="174">
        <v>0.2457997744691541</v>
      </c>
      <c r="F179" s="170">
        <v>110.74027789839771</v>
      </c>
      <c r="G179" s="8"/>
      <c r="H179" s="174">
        <v>0.21052429751504564</v>
      </c>
      <c r="I179" s="174">
        <v>0.2457997744691541</v>
      </c>
      <c r="J179" s="174">
        <v>0.30208218918346852</v>
      </c>
      <c r="K179" s="174">
        <v>0.34158325362142999</v>
      </c>
      <c r="L179" s="174">
        <v>0.31493791561515533</v>
      </c>
      <c r="M179" s="174">
        <v>0.24976429315914034</v>
      </c>
      <c r="N179" s="1"/>
      <c r="O179" s="16"/>
      <c r="P179" s="157">
        <v>85.648694336562443</v>
      </c>
      <c r="Q179" s="157">
        <v>100</v>
      </c>
      <c r="R179" s="157">
        <v>122.8976673537906</v>
      </c>
      <c r="S179" s="157">
        <v>138.96809073935742</v>
      </c>
      <c r="T179" s="157">
        <v>128.12782936653079</v>
      </c>
      <c r="U179" s="157">
        <v>101.61290574759407</v>
      </c>
      <c r="V179" s="4"/>
      <c r="W179" s="4"/>
      <c r="X179" s="4"/>
      <c r="Y179" s="4"/>
      <c r="Z179" s="4"/>
      <c r="AA179" s="4"/>
      <c r="AB179" s="4"/>
      <c r="AC179" s="4"/>
      <c r="AD179" s="4"/>
      <c r="AE179" s="1"/>
      <c r="AF179" s="1"/>
      <c r="AG179" s="16"/>
    </row>
    <row r="180" spans="1:33" s="3" customFormat="1" ht="11.25" customHeight="1" x14ac:dyDescent="0.2">
      <c r="A180" s="136" t="s">
        <v>264</v>
      </c>
      <c r="B180" s="16" t="s">
        <v>47</v>
      </c>
      <c r="C180" s="175" t="s">
        <v>46</v>
      </c>
      <c r="D180" s="176">
        <v>0.33900000000000008</v>
      </c>
      <c r="E180" s="176">
        <v>0.45900000000000002</v>
      </c>
      <c r="F180" s="164">
        <v>135.39823008849555</v>
      </c>
      <c r="G180" s="8"/>
      <c r="H180" s="176">
        <v>0.45899999999999991</v>
      </c>
      <c r="I180" s="176">
        <v>0.45900000000000002</v>
      </c>
      <c r="J180" s="176">
        <v>0.45899999999999996</v>
      </c>
      <c r="K180" s="176">
        <v>0.45899999999999991</v>
      </c>
      <c r="L180" s="176">
        <v>0.45899999999999996</v>
      </c>
      <c r="M180" s="176">
        <v>0.45900000000000002</v>
      </c>
      <c r="N180" s="1"/>
      <c r="O180" s="16"/>
      <c r="P180" s="73">
        <v>99.999999999999972</v>
      </c>
      <c r="Q180" s="73">
        <v>100</v>
      </c>
      <c r="R180" s="73">
        <v>99.999999999999986</v>
      </c>
      <c r="S180" s="73">
        <v>99.999999999999972</v>
      </c>
      <c r="T180" s="73">
        <v>99.999999999999986</v>
      </c>
      <c r="U180" s="73">
        <v>100</v>
      </c>
      <c r="V180" s="4"/>
      <c r="W180" s="4"/>
      <c r="X180" s="4"/>
      <c r="Y180" s="4"/>
      <c r="Z180" s="4"/>
      <c r="AA180" s="4"/>
      <c r="AB180" s="4"/>
      <c r="AC180" s="4"/>
      <c r="AD180" s="4"/>
      <c r="AE180" s="1"/>
      <c r="AF180" s="1"/>
      <c r="AG180" s="16"/>
    </row>
    <row r="181" spans="1:33" s="10" customFormat="1" ht="11.25" customHeight="1" x14ac:dyDescent="0.2">
      <c r="A181" s="136" t="s">
        <v>264</v>
      </c>
      <c r="B181" s="9" t="s">
        <v>45</v>
      </c>
      <c r="C181" s="159" t="s">
        <v>35</v>
      </c>
      <c r="D181" s="163">
        <v>14402.729834466671</v>
      </c>
      <c r="E181" s="163">
        <v>19297.18</v>
      </c>
      <c r="F181" s="164">
        <v>133.98279507972572</v>
      </c>
      <c r="G181" s="8"/>
      <c r="H181" s="163">
        <v>24070.779999999995</v>
      </c>
      <c r="I181" s="163">
        <v>19297.18</v>
      </c>
      <c r="J181" s="163">
        <v>14523.579999999998</v>
      </c>
      <c r="K181" s="163">
        <v>12136.779999999999</v>
      </c>
      <c r="L181" s="163">
        <v>14523.579999999998</v>
      </c>
      <c r="M181" s="163">
        <v>19297.18</v>
      </c>
      <c r="N181" s="1"/>
      <c r="O181" s="9"/>
      <c r="P181" s="8">
        <v>124.73729322108203</v>
      </c>
      <c r="Q181" s="8">
        <v>100</v>
      </c>
      <c r="R181" s="8">
        <v>75.262706778917945</v>
      </c>
      <c r="S181" s="8">
        <v>62.894060168376932</v>
      </c>
      <c r="T181" s="8">
        <v>75.262706778917945</v>
      </c>
      <c r="U181" s="8">
        <v>100</v>
      </c>
      <c r="V181" s="8"/>
      <c r="W181" s="8"/>
      <c r="X181" s="8"/>
      <c r="Y181" s="8"/>
      <c r="Z181" s="8"/>
      <c r="AA181" s="8"/>
      <c r="AB181" s="8"/>
      <c r="AC181" s="8"/>
      <c r="AD181" s="8"/>
      <c r="AE181" s="1"/>
      <c r="AF181" s="1"/>
      <c r="AG181" s="9"/>
    </row>
    <row r="182" spans="1:33" s="5" customFormat="1" ht="11.25" customHeight="1" x14ac:dyDescent="0.2">
      <c r="A182" s="136" t="s">
        <v>264</v>
      </c>
      <c r="B182" s="1" t="s">
        <v>44</v>
      </c>
      <c r="C182" s="162" t="s">
        <v>35</v>
      </c>
      <c r="D182" s="177">
        <v>0</v>
      </c>
      <c r="E182" s="177">
        <v>0</v>
      </c>
      <c r="F182" s="164"/>
      <c r="G182" s="8"/>
      <c r="H182" s="177">
        <v>0</v>
      </c>
      <c r="I182" s="177">
        <v>0</v>
      </c>
      <c r="J182" s="177">
        <v>0</v>
      </c>
      <c r="K182" s="177">
        <v>0</v>
      </c>
      <c r="L182" s="177">
        <v>0</v>
      </c>
      <c r="M182" s="177">
        <v>0</v>
      </c>
      <c r="N182" s="1"/>
      <c r="O182" s="1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1"/>
      <c r="AF182" s="1"/>
      <c r="AG182" s="1"/>
    </row>
    <row r="183" spans="1:33" s="5" customFormat="1" ht="11.25" customHeight="1" x14ac:dyDescent="0.2">
      <c r="A183" s="136" t="s">
        <v>264</v>
      </c>
      <c r="B183" s="151" t="s">
        <v>43</v>
      </c>
      <c r="C183" s="165"/>
      <c r="D183" s="171"/>
      <c r="E183" s="171"/>
      <c r="F183" s="170"/>
      <c r="G183" s="8"/>
      <c r="H183" s="171"/>
      <c r="I183" s="171"/>
      <c r="J183" s="171"/>
      <c r="K183" s="171"/>
      <c r="L183" s="171"/>
      <c r="M183" s="171"/>
      <c r="N183" s="1"/>
      <c r="O183" s="1"/>
      <c r="P183" s="156"/>
      <c r="Q183" s="156"/>
      <c r="R183" s="156"/>
      <c r="S183" s="156"/>
      <c r="T183" s="156"/>
      <c r="U183" s="156"/>
      <c r="V183" s="4"/>
      <c r="W183" s="4"/>
      <c r="X183" s="4"/>
      <c r="Y183" s="4"/>
      <c r="Z183" s="4"/>
      <c r="AA183" s="4"/>
      <c r="AB183" s="4"/>
      <c r="AC183" s="4"/>
      <c r="AD183" s="4"/>
      <c r="AE183" s="1"/>
      <c r="AF183" s="1"/>
      <c r="AG183" s="1"/>
    </row>
    <row r="184" spans="1:33" s="5" customFormat="1" ht="11.25" customHeight="1" x14ac:dyDescent="0.2">
      <c r="A184" s="136" t="s">
        <v>264</v>
      </c>
      <c r="B184" s="152" t="s">
        <v>42</v>
      </c>
      <c r="C184" s="165" t="s">
        <v>35</v>
      </c>
      <c r="D184" s="171">
        <v>14402.729834466671</v>
      </c>
      <c r="E184" s="171">
        <v>19297.18</v>
      </c>
      <c r="F184" s="172">
        <v>133.98279507972572</v>
      </c>
      <c r="G184" s="8"/>
      <c r="H184" s="171">
        <v>24070.779999999995</v>
      </c>
      <c r="I184" s="171">
        <v>19297.18</v>
      </c>
      <c r="J184" s="171">
        <v>14523.579999999998</v>
      </c>
      <c r="K184" s="171">
        <v>12136.779999999999</v>
      </c>
      <c r="L184" s="171">
        <v>14523.579999999998</v>
      </c>
      <c r="M184" s="171">
        <v>19297.18</v>
      </c>
      <c r="N184" s="1"/>
      <c r="O184" s="1"/>
      <c r="P184" s="156">
        <v>124.73729322108203</v>
      </c>
      <c r="Q184" s="156">
        <v>100</v>
      </c>
      <c r="R184" s="156">
        <v>75.262706778917945</v>
      </c>
      <c r="S184" s="156">
        <v>62.894060168376932</v>
      </c>
      <c r="T184" s="156">
        <v>75.262706778917945</v>
      </c>
      <c r="U184" s="156">
        <v>100</v>
      </c>
      <c r="V184" s="4"/>
      <c r="W184" s="4"/>
      <c r="X184" s="4"/>
      <c r="Y184" s="4"/>
      <c r="Z184" s="4"/>
      <c r="AA184" s="4"/>
      <c r="AB184" s="4"/>
      <c r="AC184" s="4"/>
      <c r="AD184" s="4"/>
      <c r="AE184" s="1"/>
      <c r="AF184" s="1"/>
      <c r="AG184" s="1"/>
    </row>
    <row r="185" spans="1:33" s="5" customFormat="1" ht="11.25" customHeight="1" x14ac:dyDescent="0.2">
      <c r="A185" s="136" t="s">
        <v>264</v>
      </c>
      <c r="B185" s="152" t="s">
        <v>41</v>
      </c>
      <c r="C185" s="165" t="s">
        <v>35</v>
      </c>
      <c r="D185" s="171">
        <v>9721.1534445165216</v>
      </c>
      <c r="E185" s="171">
        <v>10769.170978766164</v>
      </c>
      <c r="F185" s="172">
        <v>110.78079407172412</v>
      </c>
      <c r="G185" s="8"/>
      <c r="H185" s="171">
        <v>11646.994875752285</v>
      </c>
      <c r="I185" s="171">
        <v>10769.170978766164</v>
      </c>
      <c r="J185" s="171">
        <v>9816.0456755040577</v>
      </c>
      <c r="K185" s="171">
        <v>9201.3613405357501</v>
      </c>
      <c r="L185" s="171">
        <v>10201.717468454663</v>
      </c>
      <c r="M185" s="171">
        <v>10927.751726365615</v>
      </c>
      <c r="N185" s="1"/>
      <c r="O185" s="1"/>
      <c r="P185" s="156">
        <v>108.1512671561901</v>
      </c>
      <c r="Q185" s="156">
        <v>100</v>
      </c>
      <c r="R185" s="156">
        <v>91.149501617706633</v>
      </c>
      <c r="S185" s="156">
        <v>85.441686817660326</v>
      </c>
      <c r="T185" s="156">
        <v>94.73075957814801</v>
      </c>
      <c r="U185" s="156">
        <v>101.47254368894438</v>
      </c>
      <c r="V185" s="4"/>
      <c r="W185" s="4"/>
      <c r="X185" s="4"/>
      <c r="Y185" s="4"/>
      <c r="Z185" s="4"/>
      <c r="AA185" s="4"/>
      <c r="AB185" s="4"/>
      <c r="AC185" s="4"/>
      <c r="AD185" s="4"/>
      <c r="AE185" s="1"/>
      <c r="AF185" s="1"/>
      <c r="AG185" s="1"/>
    </row>
    <row r="186" spans="1:33" s="5" customFormat="1" ht="11.25" customHeight="1" x14ac:dyDescent="0.2">
      <c r="A186" s="136" t="s">
        <v>264</v>
      </c>
      <c r="B186" s="152" t="s">
        <v>40</v>
      </c>
      <c r="C186" s="165" t="s">
        <v>35</v>
      </c>
      <c r="D186" s="171">
        <v>5493.8020599688261</v>
      </c>
      <c r="E186" s="171">
        <v>5979.7645417571239</v>
      </c>
      <c r="F186" s="172">
        <v>108.84564963359919</v>
      </c>
      <c r="G186" s="8"/>
      <c r="H186" s="171">
        <v>6190.5373883328693</v>
      </c>
      <c r="I186" s="171">
        <v>5979.7645417571239</v>
      </c>
      <c r="J186" s="171">
        <v>5715.0643072342864</v>
      </c>
      <c r="K186" s="171">
        <v>5459.0919302440325</v>
      </c>
      <c r="L186" s="171">
        <v>5805.9971181173305</v>
      </c>
      <c r="M186" s="171">
        <v>6016.7382905943523</v>
      </c>
      <c r="N186" s="1"/>
      <c r="O186" s="1"/>
      <c r="P186" s="156">
        <v>103.52476832664404</v>
      </c>
      <c r="Q186" s="156">
        <v>100</v>
      </c>
      <c r="R186" s="156">
        <v>95.573400379322351</v>
      </c>
      <c r="S186" s="156">
        <v>91.292757300438893</v>
      </c>
      <c r="T186" s="156">
        <v>97.094075821441422</v>
      </c>
      <c r="U186" s="156">
        <v>100.6183144600266</v>
      </c>
      <c r="V186" s="4"/>
      <c r="W186" s="4"/>
      <c r="X186" s="4"/>
      <c r="Y186" s="4"/>
      <c r="Z186" s="4"/>
      <c r="AA186" s="4"/>
      <c r="AB186" s="4"/>
      <c r="AC186" s="4"/>
      <c r="AD186" s="4"/>
      <c r="AE186" s="1"/>
      <c r="AF186" s="1"/>
      <c r="AG186" s="1"/>
    </row>
    <row r="187" spans="1:33" s="5" customFormat="1" ht="11.25" customHeight="1" x14ac:dyDescent="0.2">
      <c r="A187" s="136" t="s">
        <v>264</v>
      </c>
      <c r="B187" s="152" t="s">
        <v>39</v>
      </c>
      <c r="C187" s="165" t="s">
        <v>35</v>
      </c>
      <c r="D187" s="171">
        <v>561.97527157561149</v>
      </c>
      <c r="E187" s="171">
        <v>634.86860371962518</v>
      </c>
      <c r="F187" s="172">
        <v>112.97091452790129</v>
      </c>
      <c r="G187" s="8"/>
      <c r="H187" s="171">
        <v>704.42166347039847</v>
      </c>
      <c r="I187" s="171">
        <v>634.86860371962518</v>
      </c>
      <c r="J187" s="171">
        <v>559.1180960252168</v>
      </c>
      <c r="K187" s="171">
        <v>517.43237742383485</v>
      </c>
      <c r="L187" s="171">
        <v>618.88834181376058</v>
      </c>
      <c r="M187" s="171">
        <v>658.98990650757673</v>
      </c>
      <c r="N187" s="1"/>
      <c r="O187" s="1"/>
      <c r="P187" s="156">
        <v>110.95550470495306</v>
      </c>
      <c r="Q187" s="156">
        <v>100</v>
      </c>
      <c r="R187" s="156">
        <v>88.068317246971333</v>
      </c>
      <c r="S187" s="156">
        <v>81.50227848601358</v>
      </c>
      <c r="T187" s="156">
        <v>97.482902475844924</v>
      </c>
      <c r="U187" s="156">
        <v>103.79941654802703</v>
      </c>
      <c r="V187" s="4"/>
      <c r="W187" s="4"/>
      <c r="X187" s="4"/>
      <c r="Y187" s="4"/>
      <c r="Z187" s="4"/>
      <c r="AA187" s="4"/>
      <c r="AB187" s="4"/>
      <c r="AC187" s="4"/>
      <c r="AD187" s="4"/>
      <c r="AE187" s="1"/>
      <c r="AF187" s="1"/>
      <c r="AG187" s="1"/>
    </row>
    <row r="188" spans="1:33" s="10" customFormat="1" ht="11.25" customHeight="1" x14ac:dyDescent="0.2">
      <c r="A188" s="136" t="s">
        <v>264</v>
      </c>
      <c r="B188" s="151" t="s">
        <v>38</v>
      </c>
      <c r="C188" s="168" t="s">
        <v>35</v>
      </c>
      <c r="D188" s="169">
        <v>3665.3761129720842</v>
      </c>
      <c r="E188" s="169">
        <v>4154.5378332894152</v>
      </c>
      <c r="F188" s="170">
        <v>113.34547138521872</v>
      </c>
      <c r="G188" s="8"/>
      <c r="H188" s="169">
        <v>4752.0358239490179</v>
      </c>
      <c r="I188" s="169">
        <v>4154.5378332894152</v>
      </c>
      <c r="J188" s="169">
        <v>3541.8632722445545</v>
      </c>
      <c r="K188" s="169">
        <v>3224.837032867883</v>
      </c>
      <c r="L188" s="169">
        <v>3776.8320085235714</v>
      </c>
      <c r="M188" s="169">
        <v>4252.0235292636862</v>
      </c>
      <c r="N188" s="1"/>
      <c r="O188" s="9"/>
      <c r="P188" s="155">
        <v>114.38181609208083</v>
      </c>
      <c r="Q188" s="155">
        <v>100</v>
      </c>
      <c r="R188" s="155">
        <v>85.252882856532636</v>
      </c>
      <c r="S188" s="155">
        <v>77.622040339311866</v>
      </c>
      <c r="T188" s="155">
        <v>90.908595855371246</v>
      </c>
      <c r="U188" s="155">
        <v>102.3464871397521</v>
      </c>
      <c r="V188" s="8"/>
      <c r="W188" s="8"/>
      <c r="X188" s="8"/>
      <c r="Y188" s="8"/>
      <c r="Z188" s="8"/>
      <c r="AA188" s="8"/>
      <c r="AB188" s="8"/>
      <c r="AC188" s="8"/>
      <c r="AD188" s="8"/>
      <c r="AE188" s="1"/>
      <c r="AF188" s="1"/>
      <c r="AG188" s="9"/>
    </row>
    <row r="189" spans="1:33" s="5" customFormat="1" ht="11.25" customHeight="1" x14ac:dyDescent="0.2">
      <c r="A189" s="136" t="s">
        <v>264</v>
      </c>
      <c r="B189" s="152" t="s">
        <v>37</v>
      </c>
      <c r="C189" s="165" t="s">
        <v>35</v>
      </c>
      <c r="D189" s="171">
        <v>8908.9277744978444</v>
      </c>
      <c r="E189" s="171">
        <v>13317.415458242876</v>
      </c>
      <c r="F189" s="172">
        <v>149.48393112316504</v>
      </c>
      <c r="G189" s="8"/>
      <c r="H189" s="171">
        <v>17880.242611667127</v>
      </c>
      <c r="I189" s="171">
        <v>13317.415458242876</v>
      </c>
      <c r="J189" s="171">
        <v>8808.5156927657117</v>
      </c>
      <c r="K189" s="171">
        <v>6677.6880697559664</v>
      </c>
      <c r="L189" s="171">
        <v>8717.5828818826667</v>
      </c>
      <c r="M189" s="171">
        <v>13280.441709405648</v>
      </c>
      <c r="N189" s="1"/>
      <c r="O189" s="1"/>
      <c r="P189" s="156">
        <v>134.2621071463237</v>
      </c>
      <c r="Q189" s="156">
        <v>100</v>
      </c>
      <c r="R189" s="156">
        <v>66.142831695722464</v>
      </c>
      <c r="S189" s="156">
        <v>50.142522704154132</v>
      </c>
      <c r="T189" s="156">
        <v>65.460020446286208</v>
      </c>
      <c r="U189" s="156">
        <v>99.722365432293074</v>
      </c>
      <c r="V189" s="4"/>
      <c r="W189" s="4"/>
      <c r="X189" s="4"/>
      <c r="Y189" s="4"/>
      <c r="Z189" s="4"/>
      <c r="AA189" s="4"/>
      <c r="AB189" s="4"/>
      <c r="AC189" s="4"/>
      <c r="AD189" s="4"/>
      <c r="AE189" s="1"/>
      <c r="AF189" s="1"/>
      <c r="AG189" s="1"/>
    </row>
    <row r="190" spans="1:33" s="10" customFormat="1" ht="11.25" customHeight="1" x14ac:dyDescent="0.2">
      <c r="A190" s="136" t="s">
        <v>264</v>
      </c>
      <c r="B190" s="151" t="s">
        <v>36</v>
      </c>
      <c r="C190" s="168" t="s">
        <v>35</v>
      </c>
      <c r="D190" s="169">
        <v>8346.9525029222332</v>
      </c>
      <c r="E190" s="169">
        <v>12682.546854523251</v>
      </c>
      <c r="F190" s="170">
        <v>151.94224299327382</v>
      </c>
      <c r="G190" s="8"/>
      <c r="H190" s="169">
        <v>17175.820948196728</v>
      </c>
      <c r="I190" s="169">
        <v>12682.546854523251</v>
      </c>
      <c r="J190" s="169">
        <v>8249.3975967404949</v>
      </c>
      <c r="K190" s="169">
        <v>6160.2556923321317</v>
      </c>
      <c r="L190" s="169">
        <v>8098.6945400689065</v>
      </c>
      <c r="M190" s="169">
        <v>12621.451802898071</v>
      </c>
      <c r="N190" s="1"/>
      <c r="O190" s="9"/>
      <c r="P190" s="155">
        <v>135.428799477062</v>
      </c>
      <c r="Q190" s="155">
        <v>100</v>
      </c>
      <c r="R190" s="155">
        <v>65.045275932084053</v>
      </c>
      <c r="S190" s="155">
        <v>48.572702021085512</v>
      </c>
      <c r="T190" s="155">
        <v>63.857004692874398</v>
      </c>
      <c r="U190" s="155">
        <v>99.518274583756892</v>
      </c>
      <c r="V190" s="8"/>
      <c r="W190" s="8"/>
      <c r="X190" s="8"/>
      <c r="Y190" s="8"/>
      <c r="Z190" s="8"/>
      <c r="AA190" s="8"/>
      <c r="AB190" s="8"/>
      <c r="AC190" s="8"/>
      <c r="AD190" s="8"/>
      <c r="AE190" s="1"/>
      <c r="AF190" s="1"/>
      <c r="AG190" s="9"/>
    </row>
    <row r="191" spans="1:33" s="5" customFormat="1" ht="11.25" customHeight="1" x14ac:dyDescent="0.25">
      <c r="A191" s="136" t="s">
        <v>264</v>
      </c>
      <c r="B191" s="152" t="s">
        <v>34</v>
      </c>
      <c r="C191" s="167" t="s">
        <v>33</v>
      </c>
      <c r="D191" s="171">
        <v>32.732048673034136</v>
      </c>
      <c r="E191" s="171">
        <v>49.748163257824018</v>
      </c>
      <c r="F191" s="172">
        <v>151.98609703525335</v>
      </c>
      <c r="G191" s="8"/>
      <c r="H191" s="171">
        <v>58.670455128700169</v>
      </c>
      <c r="I191" s="171">
        <v>49.748163257824018</v>
      </c>
      <c r="J191" s="171">
        <v>38.144041578651461</v>
      </c>
      <c r="K191" s="171">
        <v>31.363386525729801</v>
      </c>
      <c r="L191" s="171">
        <v>35.142031217998401</v>
      </c>
      <c r="M191" s="171">
        <v>48.389210236130992</v>
      </c>
      <c r="N191" s="1"/>
      <c r="O191" s="1"/>
      <c r="P191" s="156">
        <v>117.93491716394759</v>
      </c>
      <c r="Q191" s="156">
        <v>100</v>
      </c>
      <c r="R191" s="156">
        <v>76.674271130306408</v>
      </c>
      <c r="S191" s="156">
        <v>63.044310526976503</v>
      </c>
      <c r="T191" s="156">
        <v>70.639856663394553</v>
      </c>
      <c r="U191" s="156">
        <v>97.268335285766966</v>
      </c>
      <c r="V191" s="4"/>
      <c r="W191" s="4"/>
      <c r="X191" s="339" t="s">
        <v>230</v>
      </c>
      <c r="Y191" s="340"/>
      <c r="Z191" s="340"/>
      <c r="AA191" s="340"/>
      <c r="AB191" s="340"/>
      <c r="AC191" s="340"/>
      <c r="AD191" s="340"/>
      <c r="AE191" s="340"/>
      <c r="AF191" s="340"/>
      <c r="AG191" s="1"/>
    </row>
    <row r="192" spans="1:33" s="5" customFormat="1" ht="11.25" customHeight="1" x14ac:dyDescent="0.25">
      <c r="A192" s="136" t="s">
        <v>264</v>
      </c>
      <c r="B192" s="1"/>
      <c r="C192" s="19"/>
      <c r="D192" s="35">
        <v>2.3839184217907733E-2</v>
      </c>
      <c r="E192" s="35">
        <v>0</v>
      </c>
      <c r="F192" s="36"/>
      <c r="G192" s="36"/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35">
        <v>0</v>
      </c>
      <c r="N192" s="35"/>
      <c r="O192" s="1"/>
      <c r="P192" s="4"/>
      <c r="Q192" s="4"/>
      <c r="R192" s="4"/>
      <c r="S192" s="4"/>
      <c r="T192" s="4"/>
      <c r="U192" s="4"/>
      <c r="V192" s="4"/>
      <c r="W192" s="4"/>
      <c r="X192" s="192" t="s">
        <v>261</v>
      </c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s="5" customFormat="1" x14ac:dyDescent="0.2">
      <c r="A193" s="136" t="s">
        <v>265</v>
      </c>
      <c r="B193" s="141" t="s">
        <v>148</v>
      </c>
      <c r="C193" s="140"/>
      <c r="D193" s="140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40"/>
      <c r="S193" s="140"/>
      <c r="T193" s="140"/>
      <c r="U193" s="140"/>
      <c r="V193" s="140"/>
      <c r="W193" s="140"/>
      <c r="X193" s="140"/>
      <c r="Y193" s="140"/>
      <c r="Z193" s="140"/>
      <c r="AA193" s="140"/>
      <c r="AB193" s="140"/>
      <c r="AC193" s="140"/>
      <c r="AD193" s="140"/>
      <c r="AE193" s="140"/>
      <c r="AF193" s="140"/>
      <c r="AG193" s="1"/>
    </row>
    <row r="194" spans="1:33" s="5" customFormat="1" x14ac:dyDescent="0.2">
      <c r="A194" s="136" t="s">
        <v>265</v>
      </c>
      <c r="B194" s="141" t="s">
        <v>149</v>
      </c>
      <c r="C194" s="140"/>
      <c r="D194" s="143" t="s">
        <v>31</v>
      </c>
      <c r="E194" s="143" t="s">
        <v>31</v>
      </c>
      <c r="F194" s="140"/>
      <c r="G194" s="140"/>
      <c r="H194" s="143" t="s">
        <v>139</v>
      </c>
      <c r="I194" s="143" t="s">
        <v>140</v>
      </c>
      <c r="J194" s="143" t="s">
        <v>204</v>
      </c>
      <c r="K194" s="143" t="s">
        <v>138</v>
      </c>
      <c r="L194" s="143" t="s">
        <v>205</v>
      </c>
      <c r="M194" s="140"/>
      <c r="N194" s="140"/>
      <c r="O194" s="140"/>
      <c r="P194" s="140"/>
      <c r="Q194" s="140"/>
      <c r="R194" s="140"/>
      <c r="S194" s="140"/>
      <c r="T194" s="140"/>
      <c r="U194" s="140"/>
      <c r="V194" s="140"/>
      <c r="W194" s="140"/>
      <c r="X194" s="140"/>
      <c r="Y194" s="140"/>
      <c r="Z194" s="140"/>
      <c r="AA194" s="140"/>
      <c r="AB194" s="140"/>
      <c r="AC194" s="140"/>
      <c r="AD194" s="140"/>
      <c r="AE194" s="140"/>
      <c r="AF194" s="140"/>
      <c r="AG194" s="1"/>
    </row>
    <row r="195" spans="1:33" s="5" customFormat="1" ht="12" customHeight="1" x14ac:dyDescent="0.25">
      <c r="A195" s="136" t="s">
        <v>265</v>
      </c>
      <c r="B195" s="149" t="s">
        <v>265</v>
      </c>
      <c r="C195" s="158"/>
      <c r="D195" s="185">
        <v>2022</v>
      </c>
      <c r="E195" s="185">
        <v>2023</v>
      </c>
      <c r="F195" s="341" t="s">
        <v>256</v>
      </c>
      <c r="G195" s="186"/>
      <c r="H195" s="179"/>
      <c r="I195" s="179"/>
      <c r="J195" s="179" t="s">
        <v>258</v>
      </c>
      <c r="K195" s="179"/>
      <c r="L195" s="179"/>
      <c r="M195" s="179"/>
      <c r="N195" s="142"/>
      <c r="O195" s="142"/>
      <c r="P195" s="179"/>
      <c r="Q195" s="179"/>
      <c r="R195" s="179" t="s">
        <v>217</v>
      </c>
      <c r="S195" s="179"/>
      <c r="T195" s="179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1"/>
      <c r="AF195" s="1"/>
      <c r="AG195" s="1"/>
    </row>
    <row r="196" spans="1:33" s="5" customFormat="1" ht="12" x14ac:dyDescent="0.25">
      <c r="A196" s="136" t="s">
        <v>265</v>
      </c>
      <c r="B196" s="150" t="s">
        <v>84</v>
      </c>
      <c r="C196" s="158"/>
      <c r="D196" s="185"/>
      <c r="E196" s="330" t="s">
        <v>259</v>
      </c>
      <c r="F196" s="342"/>
      <c r="G196" s="186"/>
      <c r="H196" s="187" t="s">
        <v>83</v>
      </c>
      <c r="I196" s="185" t="s">
        <v>82</v>
      </c>
      <c r="J196" s="185" t="s">
        <v>81</v>
      </c>
      <c r="K196" s="214" t="s">
        <v>80</v>
      </c>
      <c r="L196" s="185" t="s">
        <v>79</v>
      </c>
      <c r="M196" s="205"/>
      <c r="N196" s="191"/>
      <c r="O196" s="191"/>
      <c r="P196" s="188" t="s">
        <v>83</v>
      </c>
      <c r="Q196" s="185" t="s">
        <v>82</v>
      </c>
      <c r="R196" s="185" t="s">
        <v>81</v>
      </c>
      <c r="S196" s="214" t="s">
        <v>80</v>
      </c>
      <c r="T196" s="185" t="s">
        <v>79</v>
      </c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1"/>
      <c r="AF196" s="1"/>
      <c r="AG196" s="1"/>
    </row>
    <row r="197" spans="1:33" s="5" customFormat="1" x14ac:dyDescent="0.2">
      <c r="A197" s="136" t="s">
        <v>265</v>
      </c>
      <c r="B197" s="9" t="s">
        <v>21</v>
      </c>
      <c r="C197" s="159" t="s">
        <v>20</v>
      </c>
      <c r="D197" s="160">
        <v>40000</v>
      </c>
      <c r="E197" s="160">
        <v>40000</v>
      </c>
      <c r="F197" s="160"/>
      <c r="G197" s="78"/>
      <c r="H197" s="178">
        <v>60000</v>
      </c>
      <c r="I197" s="178">
        <v>55000</v>
      </c>
      <c r="J197" s="178">
        <v>45000</v>
      </c>
      <c r="K197" s="178">
        <v>40000</v>
      </c>
      <c r="L197" s="178">
        <v>35000</v>
      </c>
      <c r="M197" s="178"/>
      <c r="N197" s="2"/>
      <c r="O197" s="2"/>
      <c r="P197" s="62">
        <v>150</v>
      </c>
      <c r="Q197" s="62">
        <v>137.5</v>
      </c>
      <c r="R197" s="62">
        <v>112.5</v>
      </c>
      <c r="S197" s="62">
        <v>100</v>
      </c>
      <c r="T197" s="62">
        <v>87.5</v>
      </c>
      <c r="U197" s="62"/>
      <c r="V197" s="82"/>
      <c r="W197" s="82"/>
      <c r="X197" s="82"/>
      <c r="Y197" s="82"/>
      <c r="Z197" s="82"/>
      <c r="AA197" s="82"/>
      <c r="AB197" s="82"/>
      <c r="AC197" s="82"/>
      <c r="AD197" s="82"/>
      <c r="AE197" s="1"/>
      <c r="AF197" s="1"/>
      <c r="AG197" s="1"/>
    </row>
    <row r="198" spans="1:33" s="5" customFormat="1" x14ac:dyDescent="0.2">
      <c r="A198" s="136" t="s">
        <v>265</v>
      </c>
      <c r="B198" s="9" t="s">
        <v>207</v>
      </c>
      <c r="C198" s="159" t="s">
        <v>206</v>
      </c>
      <c r="D198" s="160">
        <v>3000</v>
      </c>
      <c r="E198" s="160">
        <v>3000</v>
      </c>
      <c r="F198" s="160"/>
      <c r="G198" s="78"/>
      <c r="H198" s="178">
        <v>3000</v>
      </c>
      <c r="I198" s="178">
        <v>3000</v>
      </c>
      <c r="J198" s="178">
        <v>3000</v>
      </c>
      <c r="K198" s="178">
        <v>3000</v>
      </c>
      <c r="L198" s="178">
        <v>3000</v>
      </c>
      <c r="M198" s="178"/>
      <c r="N198" s="1"/>
      <c r="O198" s="1"/>
      <c r="P198" s="62">
        <v>100</v>
      </c>
      <c r="Q198" s="62">
        <v>100</v>
      </c>
      <c r="R198" s="62">
        <v>100</v>
      </c>
      <c r="S198" s="62">
        <v>100</v>
      </c>
      <c r="T198" s="62">
        <v>100</v>
      </c>
      <c r="U198" s="82"/>
      <c r="V198" s="82"/>
      <c r="W198" s="82"/>
      <c r="X198" s="82"/>
      <c r="Y198" s="82"/>
      <c r="Z198" s="82"/>
      <c r="AA198" s="82"/>
      <c r="AB198" s="82"/>
      <c r="AC198" s="82"/>
      <c r="AD198" s="82"/>
      <c r="AE198" s="1"/>
      <c r="AF198" s="1"/>
      <c r="AG198" s="1"/>
    </row>
    <row r="199" spans="1:33" s="5" customFormat="1" ht="6" customHeight="1" x14ac:dyDescent="0.2">
      <c r="A199" s="136" t="s">
        <v>265</v>
      </c>
      <c r="B199" s="9"/>
      <c r="C199" s="162"/>
      <c r="D199" s="161"/>
      <c r="E199" s="161"/>
      <c r="F199" s="161"/>
      <c r="G199" s="137"/>
      <c r="H199" s="161"/>
      <c r="I199" s="161"/>
      <c r="J199" s="161"/>
      <c r="K199" s="161"/>
      <c r="L199" s="161"/>
      <c r="M199" s="161"/>
      <c r="N199" s="1"/>
      <c r="O199" s="1"/>
      <c r="P199" s="84"/>
      <c r="Q199" s="182"/>
      <c r="R199" s="182"/>
      <c r="S199" s="182"/>
      <c r="T199" s="182"/>
      <c r="U199" s="84"/>
      <c r="V199" s="82"/>
      <c r="W199" s="82"/>
      <c r="X199" s="82"/>
      <c r="Y199" s="82"/>
      <c r="Z199" s="82"/>
      <c r="AA199" s="82"/>
      <c r="AB199" s="82"/>
      <c r="AC199" s="82"/>
      <c r="AD199" s="82"/>
      <c r="AE199" s="1"/>
      <c r="AF199" s="1"/>
      <c r="AG199" s="1"/>
    </row>
    <row r="200" spans="1:33" s="5" customFormat="1" ht="6" customHeight="1" x14ac:dyDescent="0.2">
      <c r="A200" s="136" t="s">
        <v>265</v>
      </c>
      <c r="B200" s="9"/>
      <c r="C200" s="159"/>
      <c r="D200" s="163"/>
      <c r="E200" s="163"/>
      <c r="F200" s="164"/>
      <c r="G200" s="8"/>
      <c r="H200" s="177"/>
      <c r="I200" s="177"/>
      <c r="J200" s="177"/>
      <c r="K200" s="177"/>
      <c r="L200" s="177"/>
      <c r="M200" s="177"/>
      <c r="N200" s="1"/>
      <c r="O200" s="1"/>
      <c r="P200" s="84"/>
      <c r="Q200" s="182"/>
      <c r="R200" s="182"/>
      <c r="S200" s="182"/>
      <c r="T200" s="182"/>
      <c r="U200" s="84"/>
      <c r="V200" s="26"/>
      <c r="W200" s="26"/>
      <c r="X200" s="26"/>
      <c r="Y200" s="26"/>
      <c r="Z200" s="26"/>
      <c r="AA200" s="26"/>
      <c r="AB200" s="26"/>
      <c r="AC200" s="26"/>
      <c r="AD200" s="26"/>
      <c r="AE200" s="1"/>
      <c r="AF200" s="1"/>
      <c r="AG200" s="1"/>
    </row>
    <row r="201" spans="1:33" s="5" customFormat="1" ht="11.25" customHeight="1" x14ac:dyDescent="0.2">
      <c r="A201" s="136" t="s">
        <v>265</v>
      </c>
      <c r="B201" s="151" t="s">
        <v>62</v>
      </c>
      <c r="C201" s="165"/>
      <c r="D201" s="166"/>
      <c r="E201" s="166"/>
      <c r="F201" s="167"/>
      <c r="G201" s="1"/>
      <c r="H201" s="166"/>
      <c r="I201" s="166"/>
      <c r="J201" s="166"/>
      <c r="K201" s="166"/>
      <c r="L201" s="166"/>
      <c r="M201" s="218"/>
      <c r="N201" s="1"/>
      <c r="O201" s="1"/>
      <c r="P201" s="154"/>
      <c r="Q201" s="154"/>
      <c r="R201" s="154"/>
      <c r="S201" s="154"/>
      <c r="T201" s="154"/>
      <c r="U201" s="84"/>
      <c r="V201" s="76"/>
      <c r="W201" s="76"/>
      <c r="X201" s="76"/>
      <c r="Y201" s="76"/>
      <c r="Z201" s="76"/>
      <c r="AA201" s="76"/>
      <c r="AB201" s="76"/>
      <c r="AC201" s="76"/>
      <c r="AD201" s="76"/>
      <c r="AE201" s="1"/>
      <c r="AF201" s="1"/>
      <c r="AG201" s="1"/>
    </row>
    <row r="202" spans="1:33" s="5" customFormat="1" ht="11.25" customHeight="1" x14ac:dyDescent="0.2">
      <c r="A202" s="136" t="s">
        <v>265</v>
      </c>
      <c r="B202" s="151" t="s">
        <v>61</v>
      </c>
      <c r="C202" s="168" t="s">
        <v>35</v>
      </c>
      <c r="D202" s="169">
        <v>10590.054230779253</v>
      </c>
      <c r="E202" s="169">
        <v>10979.122548162777</v>
      </c>
      <c r="F202" s="170">
        <v>103.67390297447886</v>
      </c>
      <c r="G202" s="8"/>
      <c r="H202" s="169">
        <v>13747.028795148348</v>
      </c>
      <c r="I202" s="169">
        <v>13126.492164651962</v>
      </c>
      <c r="J202" s="169">
        <v>11849.06042865917</v>
      </c>
      <c r="K202" s="169">
        <v>10979.122548162777</v>
      </c>
      <c r="L202" s="169">
        <v>9888.7766311637479</v>
      </c>
      <c r="M202" s="163"/>
      <c r="N202" s="1"/>
      <c r="O202" s="9"/>
      <c r="P202" s="155">
        <v>125.21063258783596</v>
      </c>
      <c r="Q202" s="155">
        <v>119.55866333642957</v>
      </c>
      <c r="R202" s="155">
        <v>107.92356471730946</v>
      </c>
      <c r="S202" s="155">
        <v>100</v>
      </c>
      <c r="T202" s="155">
        <v>90.068915687788859</v>
      </c>
      <c r="U202" s="84"/>
      <c r="V202" s="8"/>
      <c r="W202" s="8"/>
      <c r="X202" s="8"/>
      <c r="Y202" s="8"/>
      <c r="Z202" s="8"/>
      <c r="AA202" s="8"/>
      <c r="AB202" s="8"/>
      <c r="AC202" s="8"/>
      <c r="AD202" s="8"/>
      <c r="AE202" s="9"/>
      <c r="AF202" s="9"/>
      <c r="AG202" s="1"/>
    </row>
    <row r="203" spans="1:33" s="5" customFormat="1" ht="11.25" customHeight="1" x14ac:dyDescent="0.2">
      <c r="A203" s="136" t="s">
        <v>265</v>
      </c>
      <c r="B203" s="152" t="s">
        <v>60</v>
      </c>
      <c r="C203" s="165" t="s">
        <v>35</v>
      </c>
      <c r="D203" s="171">
        <v>0</v>
      </c>
      <c r="E203" s="171">
        <v>0</v>
      </c>
      <c r="F203" s="172"/>
      <c r="G203" s="8"/>
      <c r="H203" s="171">
        <v>0</v>
      </c>
      <c r="I203" s="171">
        <v>0</v>
      </c>
      <c r="J203" s="171">
        <v>0</v>
      </c>
      <c r="K203" s="171">
        <v>0</v>
      </c>
      <c r="L203" s="171">
        <v>0</v>
      </c>
      <c r="M203" s="177"/>
      <c r="N203" s="1"/>
      <c r="O203" s="1"/>
      <c r="P203" s="156"/>
      <c r="Q203" s="156"/>
      <c r="R203" s="156"/>
      <c r="S203" s="156"/>
      <c r="T203" s="156"/>
      <c r="U203" s="84"/>
      <c r="V203" s="4"/>
      <c r="W203" s="4"/>
      <c r="X203" s="4"/>
      <c r="Y203" s="4"/>
      <c r="Z203" s="4"/>
      <c r="AA203" s="4"/>
      <c r="AB203" s="4"/>
      <c r="AC203" s="4"/>
      <c r="AD203" s="4"/>
      <c r="AE203" s="1"/>
      <c r="AF203" s="1"/>
      <c r="AG203" s="1"/>
    </row>
    <row r="204" spans="1:33" s="5" customFormat="1" ht="11.25" customHeight="1" x14ac:dyDescent="0.2">
      <c r="A204" s="136" t="s">
        <v>265</v>
      </c>
      <c r="B204" s="152" t="s">
        <v>59</v>
      </c>
      <c r="C204" s="165" t="s">
        <v>35</v>
      </c>
      <c r="D204" s="171">
        <v>296.863037897195</v>
      </c>
      <c r="E204" s="171">
        <v>348.50193469867639</v>
      </c>
      <c r="F204" s="172">
        <v>117.39485560993424</v>
      </c>
      <c r="G204" s="8"/>
      <c r="H204" s="171">
        <v>475.63273681937392</v>
      </c>
      <c r="I204" s="171">
        <v>443.85003628919958</v>
      </c>
      <c r="J204" s="171">
        <v>380.28463522885085</v>
      </c>
      <c r="K204" s="171">
        <v>348.50193469867639</v>
      </c>
      <c r="L204" s="171">
        <v>316.71923416850206</v>
      </c>
      <c r="M204" s="177"/>
      <c r="N204" s="1"/>
      <c r="O204" s="1"/>
      <c r="P204" s="156">
        <v>136.47922420591956</v>
      </c>
      <c r="Q204" s="156">
        <v>127.35941815443968</v>
      </c>
      <c r="R204" s="156">
        <v>109.11980605147991</v>
      </c>
      <c r="S204" s="156">
        <v>100</v>
      </c>
      <c r="T204" s="156">
        <v>90.88019394852013</v>
      </c>
      <c r="U204" s="84"/>
      <c r="V204" s="4"/>
      <c r="W204" s="4"/>
      <c r="X204" s="4"/>
      <c r="Y204" s="4"/>
      <c r="Z204" s="4"/>
      <c r="AA204" s="4"/>
      <c r="AB204" s="4"/>
      <c r="AC204" s="4"/>
      <c r="AD204" s="4"/>
      <c r="AE204" s="1"/>
      <c r="AF204" s="1"/>
      <c r="AG204" s="1"/>
    </row>
    <row r="205" spans="1:33" s="5" customFormat="1" ht="11.25" customHeight="1" x14ac:dyDescent="0.2">
      <c r="A205" s="136" t="s">
        <v>265</v>
      </c>
      <c r="B205" s="152" t="s">
        <v>58</v>
      </c>
      <c r="C205" s="165" t="s">
        <v>35</v>
      </c>
      <c r="D205" s="171">
        <v>1626.5684149999997</v>
      </c>
      <c r="E205" s="171">
        <v>1653.9388400000003</v>
      </c>
      <c r="F205" s="172">
        <v>101.68270973096453</v>
      </c>
      <c r="G205" s="8"/>
      <c r="H205" s="171">
        <v>1653.9388400000003</v>
      </c>
      <c r="I205" s="171">
        <v>1653.9388400000003</v>
      </c>
      <c r="J205" s="171">
        <v>1653.9388400000003</v>
      </c>
      <c r="K205" s="171">
        <v>1653.9388400000003</v>
      </c>
      <c r="L205" s="171">
        <v>1525.2270800000001</v>
      </c>
      <c r="M205" s="177"/>
      <c r="N205" s="1"/>
      <c r="O205" s="1"/>
      <c r="P205" s="156">
        <v>100</v>
      </c>
      <c r="Q205" s="156">
        <v>100</v>
      </c>
      <c r="R205" s="156">
        <v>100</v>
      </c>
      <c r="S205" s="156">
        <v>100</v>
      </c>
      <c r="T205" s="156">
        <v>92.217864597701805</v>
      </c>
      <c r="U205" s="84"/>
      <c r="V205" s="4"/>
      <c r="W205" s="4"/>
      <c r="X205" s="4"/>
      <c r="Y205" s="4"/>
      <c r="Z205" s="4"/>
      <c r="AA205" s="4"/>
      <c r="AB205" s="4"/>
      <c r="AC205" s="4"/>
      <c r="AD205" s="4"/>
      <c r="AE205" s="1"/>
      <c r="AF205" s="1"/>
      <c r="AG205" s="1"/>
    </row>
    <row r="206" spans="1:33" s="5" customFormat="1" ht="11.25" customHeight="1" x14ac:dyDescent="0.2">
      <c r="A206" s="136" t="s">
        <v>265</v>
      </c>
      <c r="B206" s="152" t="s">
        <v>57</v>
      </c>
      <c r="C206" s="165" t="s">
        <v>35</v>
      </c>
      <c r="D206" s="171">
        <v>2408.2051724137928</v>
      </c>
      <c r="E206" s="171">
        <v>2697.1862068965511</v>
      </c>
      <c r="F206" s="172">
        <v>111.99985108383048</v>
      </c>
      <c r="G206" s="8"/>
      <c r="H206" s="171">
        <v>3872.8827586206885</v>
      </c>
      <c r="I206" s="171">
        <v>3578.9586206896543</v>
      </c>
      <c r="J206" s="171">
        <v>2991.1103448275853</v>
      </c>
      <c r="K206" s="171">
        <v>2697.1862068965511</v>
      </c>
      <c r="L206" s="171">
        <v>2403.2620689655168</v>
      </c>
      <c r="M206" s="177"/>
      <c r="N206" s="1"/>
      <c r="O206" s="1"/>
      <c r="P206" s="156">
        <v>143.58974358974359</v>
      </c>
      <c r="Q206" s="156">
        <v>132.69230769230768</v>
      </c>
      <c r="R206" s="156">
        <v>110.89743589743588</v>
      </c>
      <c r="S206" s="156">
        <v>100</v>
      </c>
      <c r="T206" s="156">
        <v>89.102564102564102</v>
      </c>
      <c r="U206" s="84"/>
      <c r="V206" s="4"/>
      <c r="W206" s="4"/>
      <c r="X206" s="4"/>
      <c r="Y206" s="4"/>
      <c r="Z206" s="4"/>
      <c r="AA206" s="4"/>
      <c r="AB206" s="4"/>
      <c r="AC206" s="4"/>
      <c r="AD206" s="4"/>
      <c r="AE206" s="1"/>
      <c r="AF206" s="1"/>
      <c r="AG206" s="1"/>
    </row>
    <row r="207" spans="1:33" s="5" customFormat="1" ht="11.25" customHeight="1" x14ac:dyDescent="0.2">
      <c r="A207" s="136" t="s">
        <v>265</v>
      </c>
      <c r="B207" s="152" t="s">
        <v>56</v>
      </c>
      <c r="C207" s="165" t="s">
        <v>35</v>
      </c>
      <c r="D207" s="171">
        <v>2010.6054360000001</v>
      </c>
      <c r="E207" s="171">
        <v>2012.44213436</v>
      </c>
      <c r="F207" s="172">
        <v>100.09135051199574</v>
      </c>
      <c r="G207" s="8"/>
      <c r="H207" s="171">
        <v>2306.0882015400002</v>
      </c>
      <c r="I207" s="171">
        <v>2303.934184745</v>
      </c>
      <c r="J207" s="171">
        <v>2263.9974011549998</v>
      </c>
      <c r="K207" s="171">
        <v>2012.44213436</v>
      </c>
      <c r="L207" s="171">
        <v>1760.8868675650001</v>
      </c>
      <c r="M207" s="177"/>
      <c r="N207" s="1"/>
      <c r="O207" s="1"/>
      <c r="P207" s="156">
        <v>114.59152848006664</v>
      </c>
      <c r="Q207" s="156">
        <v>114.4844935120433</v>
      </c>
      <c r="R207" s="156">
        <v>112.5</v>
      </c>
      <c r="S207" s="156">
        <v>100</v>
      </c>
      <c r="T207" s="156">
        <v>87.500000000000014</v>
      </c>
      <c r="U207" s="84"/>
      <c r="V207" s="4"/>
      <c r="W207" s="4"/>
      <c r="X207" s="4"/>
      <c r="Y207" s="4"/>
      <c r="Z207" s="4"/>
      <c r="AA207" s="4"/>
      <c r="AB207" s="4"/>
      <c r="AC207" s="4"/>
      <c r="AD207" s="4"/>
      <c r="AE207" s="1"/>
      <c r="AF207" s="1"/>
      <c r="AG207" s="1"/>
    </row>
    <row r="208" spans="1:33" s="5" customFormat="1" ht="11.25" customHeight="1" x14ac:dyDescent="0.2">
      <c r="A208" s="136" t="s">
        <v>265</v>
      </c>
      <c r="B208" s="152" t="s">
        <v>55</v>
      </c>
      <c r="C208" s="165" t="s">
        <v>35</v>
      </c>
      <c r="D208" s="171">
        <v>1558.8807887360504</v>
      </c>
      <c r="E208" s="171">
        <v>1459.8015235988539</v>
      </c>
      <c r="F208" s="172">
        <v>93.644205134022442</v>
      </c>
      <c r="G208" s="8"/>
      <c r="H208" s="171">
        <v>1525.4470153108418</v>
      </c>
      <c r="I208" s="171">
        <v>1509.0356423828448</v>
      </c>
      <c r="J208" s="171">
        <v>1476.212896526851</v>
      </c>
      <c r="K208" s="171">
        <v>1459.8015235988539</v>
      </c>
      <c r="L208" s="171">
        <v>1355.1691887867319</v>
      </c>
      <c r="M208" s="177"/>
      <c r="N208" s="1"/>
      <c r="O208" s="1"/>
      <c r="P208" s="156">
        <v>104.49687787351749</v>
      </c>
      <c r="Q208" s="156">
        <v>103.3726584051381</v>
      </c>
      <c r="R208" s="156">
        <v>101.12421946837938</v>
      </c>
      <c r="S208" s="156">
        <v>100</v>
      </c>
      <c r="T208" s="156">
        <v>92.83242734572768</v>
      </c>
      <c r="U208" s="84"/>
      <c r="V208" s="4"/>
      <c r="W208" s="4"/>
      <c r="X208" s="4"/>
      <c r="Y208" s="4"/>
      <c r="Z208" s="4"/>
      <c r="AA208" s="4"/>
      <c r="AB208" s="4"/>
      <c r="AC208" s="4"/>
      <c r="AD208" s="4"/>
      <c r="AE208" s="1"/>
      <c r="AF208" s="1"/>
      <c r="AG208" s="1"/>
    </row>
    <row r="209" spans="1:33" s="5" customFormat="1" ht="11.25" customHeight="1" x14ac:dyDescent="0.2">
      <c r="A209" s="136" t="s">
        <v>265</v>
      </c>
      <c r="B209" s="152" t="s">
        <v>26</v>
      </c>
      <c r="C209" s="165" t="s">
        <v>35</v>
      </c>
      <c r="D209" s="171">
        <v>3544.744115628243</v>
      </c>
      <c r="E209" s="171">
        <v>3808.3278875793576</v>
      </c>
      <c r="F209" s="172">
        <v>107.43590406960585</v>
      </c>
      <c r="G209" s="8"/>
      <c r="H209" s="171">
        <v>4169.1347209126907</v>
      </c>
      <c r="I209" s="171">
        <v>4078.9330125793576</v>
      </c>
      <c r="J209" s="171">
        <v>3898.5295959126906</v>
      </c>
      <c r="K209" s="171">
        <v>3808.3278875793576</v>
      </c>
      <c r="L209" s="171">
        <v>3718.1261792460241</v>
      </c>
      <c r="M209" s="177"/>
      <c r="N209" s="1"/>
      <c r="O209" s="1"/>
      <c r="P209" s="156">
        <v>109.47415359139858</v>
      </c>
      <c r="Q209" s="156">
        <v>107.10561519354893</v>
      </c>
      <c r="R209" s="156">
        <v>102.36853839784963</v>
      </c>
      <c r="S209" s="156">
        <v>100</v>
      </c>
      <c r="T209" s="156">
        <v>97.631461602150353</v>
      </c>
      <c r="U209" s="84"/>
      <c r="V209" s="4"/>
      <c r="W209" s="4"/>
      <c r="X209" s="4"/>
      <c r="Y209" s="4"/>
      <c r="Z209" s="4"/>
      <c r="AA209" s="4"/>
      <c r="AB209" s="4"/>
      <c r="AC209" s="4"/>
      <c r="AD209" s="4"/>
      <c r="AE209" s="1"/>
      <c r="AF209" s="1"/>
      <c r="AG209" s="1"/>
    </row>
    <row r="210" spans="1:33" s="5" customFormat="1" ht="11.25" customHeight="1" x14ac:dyDescent="0.2">
      <c r="A210" s="136" t="s">
        <v>265</v>
      </c>
      <c r="B210" s="151" t="s">
        <v>54</v>
      </c>
      <c r="C210" s="168" t="s">
        <v>35</v>
      </c>
      <c r="D210" s="169">
        <v>7423.5667155563951</v>
      </c>
      <c r="E210" s="169">
        <v>8361.1556146363109</v>
      </c>
      <c r="F210" s="170">
        <v>112.6298979318817</v>
      </c>
      <c r="G210" s="8"/>
      <c r="H210" s="169">
        <v>9626.3507643079047</v>
      </c>
      <c r="I210" s="169">
        <v>9311.2118092972196</v>
      </c>
      <c r="J210" s="169">
        <v>8680.3516105288454</v>
      </c>
      <c r="K210" s="169">
        <v>8361.1556146363109</v>
      </c>
      <c r="L210" s="169">
        <v>7969.3665601045122</v>
      </c>
      <c r="M210" s="163"/>
      <c r="N210" s="1"/>
      <c r="O210" s="9"/>
      <c r="P210" s="155">
        <v>115.13182158046256</v>
      </c>
      <c r="Q210" s="155">
        <v>111.36273786123323</v>
      </c>
      <c r="R210" s="155">
        <v>103.81760620904817</v>
      </c>
      <c r="S210" s="155">
        <v>100</v>
      </c>
      <c r="T210" s="155">
        <v>95.31417578395542</v>
      </c>
      <c r="U210" s="84"/>
      <c r="V210" s="8"/>
      <c r="W210" s="8"/>
      <c r="X210" s="8"/>
      <c r="Y210" s="8"/>
      <c r="Z210" s="8"/>
      <c r="AA210" s="8"/>
      <c r="AB210" s="8"/>
      <c r="AC210" s="8"/>
      <c r="AD210" s="8"/>
      <c r="AE210" s="1"/>
      <c r="AF210" s="1"/>
      <c r="AG210" s="1"/>
    </row>
    <row r="211" spans="1:33" s="5" customFormat="1" ht="11.25" customHeight="1" x14ac:dyDescent="0.2">
      <c r="A211" s="136" t="s">
        <v>265</v>
      </c>
      <c r="B211" s="152" t="s">
        <v>53</v>
      </c>
      <c r="C211" s="165" t="s">
        <v>35</v>
      </c>
      <c r="D211" s="171">
        <v>3529.3702679542084</v>
      </c>
      <c r="E211" s="171">
        <v>3867.896895002415</v>
      </c>
      <c r="F211" s="172">
        <v>109.59170053995022</v>
      </c>
      <c r="G211" s="8"/>
      <c r="H211" s="171">
        <v>4499.683735303679</v>
      </c>
      <c r="I211" s="171">
        <v>4341.7370252283627</v>
      </c>
      <c r="J211" s="171">
        <v>4025.8436050777309</v>
      </c>
      <c r="K211" s="171">
        <v>3867.896895002415</v>
      </c>
      <c r="L211" s="171">
        <v>3676.0504732803302</v>
      </c>
      <c r="M211" s="177"/>
      <c r="N211" s="1"/>
      <c r="O211" s="1"/>
      <c r="P211" s="156">
        <v>116.33411793157092</v>
      </c>
      <c r="Q211" s="156">
        <v>112.25058844867817</v>
      </c>
      <c r="R211" s="156">
        <v>104.08352948289273</v>
      </c>
      <c r="S211" s="156">
        <v>100</v>
      </c>
      <c r="T211" s="156">
        <v>95.0400326862393</v>
      </c>
      <c r="U211" s="84"/>
      <c r="V211" s="4"/>
      <c r="W211" s="4"/>
      <c r="X211" s="4"/>
      <c r="Y211" s="4"/>
      <c r="Z211" s="4"/>
      <c r="AA211" s="4"/>
      <c r="AB211" s="4"/>
      <c r="AC211" s="4"/>
      <c r="AD211" s="4"/>
      <c r="AE211" s="1"/>
      <c r="AF211" s="1"/>
      <c r="AG211" s="1"/>
    </row>
    <row r="212" spans="1:33" s="5" customFormat="1" ht="11.25" customHeight="1" x14ac:dyDescent="0.2">
      <c r="A212" s="136" t="s">
        <v>265</v>
      </c>
      <c r="B212" s="151" t="s">
        <v>52</v>
      </c>
      <c r="C212" s="168" t="s">
        <v>35</v>
      </c>
      <c r="D212" s="169">
        <v>21558.36506196389</v>
      </c>
      <c r="E212" s="169">
        <v>23148.606050378447</v>
      </c>
      <c r="F212" s="170">
        <v>107.37644521671203</v>
      </c>
      <c r="G212" s="8"/>
      <c r="H212" s="169">
        <v>27542.514280368945</v>
      </c>
      <c r="I212" s="169">
        <v>26516.636986528538</v>
      </c>
      <c r="J212" s="169">
        <v>24427.941635100706</v>
      </c>
      <c r="K212" s="169">
        <v>23148.606050378447</v>
      </c>
      <c r="L212" s="169">
        <v>21576.269370514285</v>
      </c>
      <c r="M212" s="163"/>
      <c r="N212" s="1"/>
      <c r="O212" s="9"/>
      <c r="P212" s="155">
        <v>118.98130807716028</v>
      </c>
      <c r="Q212" s="155">
        <v>114.54960583293969</v>
      </c>
      <c r="R212" s="155">
        <v>105.52662040184207</v>
      </c>
      <c r="S212" s="155">
        <v>100</v>
      </c>
      <c r="T212" s="155">
        <v>93.207639905218159</v>
      </c>
      <c r="U212" s="84"/>
      <c r="V212" s="8"/>
      <c r="W212" s="8"/>
      <c r="X212" s="8"/>
      <c r="Y212" s="8"/>
      <c r="Z212" s="8"/>
      <c r="AA212" s="8"/>
      <c r="AB212" s="8"/>
      <c r="AC212" s="8"/>
      <c r="AD212" s="8"/>
      <c r="AE212" s="1"/>
      <c r="AF212" s="1"/>
      <c r="AG212" s="1"/>
    </row>
    <row r="213" spans="1:33" s="5" customFormat="1" ht="11.25" customHeight="1" x14ac:dyDescent="0.25">
      <c r="A213" s="136" t="s">
        <v>265</v>
      </c>
      <c r="B213" s="152" t="s">
        <v>5</v>
      </c>
      <c r="C213" s="165" t="s">
        <v>35</v>
      </c>
      <c r="D213" s="171">
        <v>0</v>
      </c>
      <c r="E213" s="171">
        <v>0</v>
      </c>
      <c r="F213" s="172"/>
      <c r="G213" s="8"/>
      <c r="H213" s="171">
        <v>0</v>
      </c>
      <c r="I213" s="171">
        <v>0</v>
      </c>
      <c r="J213" s="171">
        <v>0</v>
      </c>
      <c r="K213" s="171">
        <v>0</v>
      </c>
      <c r="L213" s="171">
        <v>0</v>
      </c>
      <c r="M213" s="177"/>
      <c r="N213" s="1"/>
      <c r="O213" s="1"/>
      <c r="P213" s="156"/>
      <c r="Q213" s="156"/>
      <c r="R213" s="156"/>
      <c r="S213" s="156"/>
      <c r="T213" s="156"/>
      <c r="U213" s="84"/>
      <c r="V213" s="4"/>
      <c r="W213" s="4"/>
      <c r="X213" s="339" t="s">
        <v>222</v>
      </c>
      <c r="Y213" s="340"/>
      <c r="Z213" s="340"/>
      <c r="AA213" s="340"/>
      <c r="AB213" s="340"/>
      <c r="AC213" s="340"/>
      <c r="AD213" s="340"/>
      <c r="AE213" s="340"/>
      <c r="AF213" s="340"/>
      <c r="AG213" s="1"/>
    </row>
    <row r="214" spans="1:33" s="5" customFormat="1" ht="11.25" customHeight="1" x14ac:dyDescent="0.25">
      <c r="A214" s="136" t="s">
        <v>265</v>
      </c>
      <c r="B214" s="152" t="s">
        <v>51</v>
      </c>
      <c r="C214" s="165" t="s">
        <v>35</v>
      </c>
      <c r="D214" s="171">
        <v>21558.36506196389</v>
      </c>
      <c r="E214" s="171">
        <v>23148.606050378447</v>
      </c>
      <c r="F214" s="172">
        <v>107.37644521671203</v>
      </c>
      <c r="G214" s="8"/>
      <c r="H214" s="171">
        <v>27542.514280368945</v>
      </c>
      <c r="I214" s="171">
        <v>26516.636986528538</v>
      </c>
      <c r="J214" s="171">
        <v>24427.941635100706</v>
      </c>
      <c r="K214" s="171">
        <v>23148.606050378447</v>
      </c>
      <c r="L214" s="171">
        <v>21576.269370514285</v>
      </c>
      <c r="M214" s="177"/>
      <c r="N214" s="1"/>
      <c r="O214" s="1"/>
      <c r="P214" s="156">
        <v>118.98130807716028</v>
      </c>
      <c r="Q214" s="156">
        <v>114.54960583293969</v>
      </c>
      <c r="R214" s="156">
        <v>105.52662040184207</v>
      </c>
      <c r="S214" s="156">
        <v>100</v>
      </c>
      <c r="T214" s="156">
        <v>93.207639905218159</v>
      </c>
      <c r="U214" s="84"/>
      <c r="V214" s="4"/>
      <c r="W214" s="4"/>
      <c r="X214" s="192" t="s">
        <v>260</v>
      </c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s="5" customFormat="1" ht="11.25" customHeight="1" x14ac:dyDescent="0.2">
      <c r="A215" s="136" t="s">
        <v>265</v>
      </c>
      <c r="B215" s="152" t="s">
        <v>50</v>
      </c>
      <c r="C215" s="165" t="s">
        <v>35</v>
      </c>
      <c r="D215" s="171">
        <v>351.8899328</v>
      </c>
      <c r="E215" s="171">
        <v>202.77999999999994</v>
      </c>
      <c r="F215" s="172">
        <v>57.625973663546638</v>
      </c>
      <c r="G215" s="8"/>
      <c r="H215" s="171">
        <v>202.77999999999994</v>
      </c>
      <c r="I215" s="171">
        <v>202.77999999999994</v>
      </c>
      <c r="J215" s="171">
        <v>202.77999999999994</v>
      </c>
      <c r="K215" s="171">
        <v>202.77999999999994</v>
      </c>
      <c r="L215" s="171">
        <v>202.77999999999994</v>
      </c>
      <c r="M215" s="177"/>
      <c r="N215" s="1"/>
      <c r="O215" s="1"/>
      <c r="P215" s="156">
        <v>100</v>
      </c>
      <c r="Q215" s="156">
        <v>100</v>
      </c>
      <c r="R215" s="156">
        <v>100</v>
      </c>
      <c r="S215" s="156">
        <v>100</v>
      </c>
      <c r="T215" s="156">
        <v>100</v>
      </c>
      <c r="U215" s="84"/>
      <c r="V215" s="4"/>
      <c r="W215" s="4"/>
      <c r="X215" s="4"/>
      <c r="Y215" s="4"/>
      <c r="Z215" s="4"/>
      <c r="AA215" s="4"/>
      <c r="AB215" s="4"/>
      <c r="AC215" s="4"/>
      <c r="AD215" s="4"/>
      <c r="AE215" s="1"/>
      <c r="AF215" s="1"/>
      <c r="AG215" s="1"/>
    </row>
    <row r="216" spans="1:33" s="5" customFormat="1" ht="11.25" customHeight="1" x14ac:dyDescent="0.2">
      <c r="A216" s="136" t="s">
        <v>265</v>
      </c>
      <c r="B216" s="151" t="s">
        <v>49</v>
      </c>
      <c r="C216" s="168" t="s">
        <v>35</v>
      </c>
      <c r="D216" s="169">
        <v>21206.47512916389</v>
      </c>
      <c r="E216" s="169">
        <v>22945.826050378448</v>
      </c>
      <c r="F216" s="170">
        <v>108.20198034147855</v>
      </c>
      <c r="G216" s="8"/>
      <c r="H216" s="169">
        <v>27339.734280368946</v>
      </c>
      <c r="I216" s="169">
        <v>26313.856986528539</v>
      </c>
      <c r="J216" s="169">
        <v>24225.161635100707</v>
      </c>
      <c r="K216" s="169">
        <v>22945.826050378448</v>
      </c>
      <c r="L216" s="169">
        <v>21373.489370514286</v>
      </c>
      <c r="M216" s="163"/>
      <c r="N216" s="9"/>
      <c r="O216" s="9"/>
      <c r="P216" s="155">
        <v>119.14905229536518</v>
      </c>
      <c r="Q216" s="155">
        <v>114.67818560445568</v>
      </c>
      <c r="R216" s="155">
        <v>105.57546100939416</v>
      </c>
      <c r="S216" s="155">
        <v>100</v>
      </c>
      <c r="T216" s="155">
        <v>93.147613529310149</v>
      </c>
      <c r="U216" s="84"/>
      <c r="V216" s="4"/>
      <c r="W216" s="4"/>
      <c r="X216" s="4"/>
      <c r="Y216" s="4"/>
      <c r="Z216" s="4"/>
      <c r="AA216" s="4"/>
      <c r="AB216" s="4"/>
      <c r="AC216" s="4"/>
      <c r="AD216" s="4"/>
      <c r="AE216" s="1"/>
      <c r="AF216" s="1"/>
      <c r="AG216" s="1"/>
    </row>
    <row r="217" spans="1:33" s="5" customFormat="1" ht="11.25" customHeight="1" x14ac:dyDescent="0.2">
      <c r="A217" s="136" t="s">
        <v>265</v>
      </c>
      <c r="B217" s="153" t="s">
        <v>48</v>
      </c>
      <c r="C217" s="173" t="s">
        <v>46</v>
      </c>
      <c r="D217" s="174">
        <v>0.53016187822909722</v>
      </c>
      <c r="E217" s="174">
        <v>0.57364565125946121</v>
      </c>
      <c r="F217" s="170">
        <v>108.20198034147855</v>
      </c>
      <c r="G217" s="8"/>
      <c r="H217" s="174">
        <v>0.45566223800614908</v>
      </c>
      <c r="I217" s="174">
        <v>0.47843376339142796</v>
      </c>
      <c r="J217" s="174">
        <v>0.53833692522446019</v>
      </c>
      <c r="K217" s="174">
        <v>0.57364565125946121</v>
      </c>
      <c r="L217" s="174">
        <v>0.61067112487183672</v>
      </c>
      <c r="M217" s="221"/>
      <c r="N217" s="1"/>
      <c r="O217" s="16"/>
      <c r="P217" s="157">
        <v>79.432701530243449</v>
      </c>
      <c r="Q217" s="157">
        <v>83.402316803240495</v>
      </c>
      <c r="R217" s="157">
        <v>93.844854230572594</v>
      </c>
      <c r="S217" s="157">
        <v>100</v>
      </c>
      <c r="T217" s="157">
        <v>106.45441546206872</v>
      </c>
      <c r="U217" s="84"/>
      <c r="V217" s="4"/>
      <c r="W217" s="4"/>
      <c r="X217" s="4"/>
      <c r="Y217" s="4"/>
      <c r="Z217" s="4"/>
      <c r="AA217" s="4"/>
      <c r="AB217" s="4"/>
      <c r="AC217" s="4"/>
      <c r="AD217" s="4"/>
      <c r="AE217" s="1"/>
      <c r="AF217" s="1"/>
      <c r="AG217" s="1"/>
    </row>
    <row r="218" spans="1:33" s="5" customFormat="1" ht="11.25" customHeight="1" x14ac:dyDescent="0.2">
      <c r="A218" s="136" t="s">
        <v>265</v>
      </c>
      <c r="B218" s="16" t="s">
        <v>47</v>
      </c>
      <c r="C218" s="175" t="s">
        <v>46</v>
      </c>
      <c r="D218" s="176">
        <v>0.50600000000000001</v>
      </c>
      <c r="E218" s="176">
        <v>0.6409999999999999</v>
      </c>
      <c r="F218" s="164">
        <v>126.67984189723317</v>
      </c>
      <c r="G218" s="8"/>
      <c r="H218" s="176">
        <v>0.6409999999999999</v>
      </c>
      <c r="I218" s="176">
        <v>0.6409999999999999</v>
      </c>
      <c r="J218" s="176">
        <v>0.6409999999999999</v>
      </c>
      <c r="K218" s="176">
        <v>0.6409999999999999</v>
      </c>
      <c r="L218" s="176">
        <v>0.6409999999999999</v>
      </c>
      <c r="M218" s="176"/>
      <c r="N218" s="1"/>
      <c r="O218" s="16"/>
      <c r="P218" s="73">
        <v>100</v>
      </c>
      <c r="Q218" s="73">
        <v>100</v>
      </c>
      <c r="R218" s="73">
        <v>100</v>
      </c>
      <c r="S218" s="73">
        <v>100</v>
      </c>
      <c r="T218" s="73">
        <v>100</v>
      </c>
      <c r="U218" s="84"/>
      <c r="V218" s="4"/>
      <c r="W218" s="4"/>
      <c r="X218" s="4"/>
      <c r="Y218" s="4"/>
      <c r="Z218" s="4"/>
      <c r="AA218" s="4"/>
      <c r="AB218" s="4"/>
      <c r="AC218" s="4"/>
      <c r="AD218" s="4"/>
      <c r="AE218" s="1"/>
      <c r="AF218" s="1"/>
      <c r="AG218" s="1"/>
    </row>
    <row r="219" spans="1:33" s="5" customFormat="1" ht="11.25" customHeight="1" x14ac:dyDescent="0.2">
      <c r="A219" s="136" t="s">
        <v>265</v>
      </c>
      <c r="B219" s="9" t="s">
        <v>45</v>
      </c>
      <c r="C219" s="159" t="s">
        <v>35</v>
      </c>
      <c r="D219" s="163">
        <v>20591.889932800001</v>
      </c>
      <c r="E219" s="163">
        <v>25842.779999999995</v>
      </c>
      <c r="F219" s="164">
        <v>125.49979668857914</v>
      </c>
      <c r="G219" s="8"/>
      <c r="H219" s="163">
        <v>38662.779999999992</v>
      </c>
      <c r="I219" s="163">
        <v>35457.779999999992</v>
      </c>
      <c r="J219" s="163">
        <v>29047.779999999995</v>
      </c>
      <c r="K219" s="163">
        <v>25842.779999999995</v>
      </c>
      <c r="L219" s="163">
        <v>22637.779999999995</v>
      </c>
      <c r="M219" s="163"/>
      <c r="N219" s="1"/>
      <c r="O219" s="9"/>
      <c r="P219" s="8">
        <v>149.60766604831213</v>
      </c>
      <c r="Q219" s="8">
        <v>137.20574953623409</v>
      </c>
      <c r="R219" s="8">
        <v>112.40191651207805</v>
      </c>
      <c r="S219" s="8">
        <v>100</v>
      </c>
      <c r="T219" s="8">
        <v>87.598083487921969</v>
      </c>
      <c r="U219" s="84"/>
      <c r="V219" s="8"/>
      <c r="W219" s="8"/>
      <c r="X219" s="8"/>
      <c r="Y219" s="8"/>
      <c r="Z219" s="8"/>
      <c r="AA219" s="8"/>
      <c r="AB219" s="8"/>
      <c r="AC219" s="8"/>
      <c r="AD219" s="8"/>
      <c r="AE219" s="1"/>
      <c r="AF219" s="1"/>
      <c r="AG219" s="1"/>
    </row>
    <row r="220" spans="1:33" s="5" customFormat="1" ht="11.25" customHeight="1" x14ac:dyDescent="0.2">
      <c r="A220" s="136" t="s">
        <v>265</v>
      </c>
      <c r="B220" s="1" t="s">
        <v>44</v>
      </c>
      <c r="C220" s="162" t="s">
        <v>35</v>
      </c>
      <c r="D220" s="177">
        <v>0</v>
      </c>
      <c r="E220" s="177">
        <v>0</v>
      </c>
      <c r="F220" s="164"/>
      <c r="G220" s="8"/>
      <c r="H220" s="177">
        <v>0</v>
      </c>
      <c r="I220" s="177">
        <v>0</v>
      </c>
      <c r="J220" s="177">
        <v>0</v>
      </c>
      <c r="K220" s="177">
        <v>0</v>
      </c>
      <c r="L220" s="177">
        <v>0</v>
      </c>
      <c r="M220" s="177"/>
      <c r="N220" s="1"/>
      <c r="O220" s="1"/>
      <c r="P220" s="4"/>
      <c r="Q220" s="4"/>
      <c r="R220" s="4"/>
      <c r="S220" s="4"/>
      <c r="T220" s="4"/>
      <c r="U220" s="84"/>
      <c r="V220" s="4"/>
      <c r="W220" s="4"/>
      <c r="X220" s="4"/>
      <c r="Y220" s="4"/>
      <c r="Z220" s="4"/>
      <c r="AA220" s="4"/>
      <c r="AB220" s="4"/>
      <c r="AC220" s="4"/>
      <c r="AD220" s="4"/>
      <c r="AE220" s="1"/>
      <c r="AF220" s="1"/>
      <c r="AG220" s="1"/>
    </row>
    <row r="221" spans="1:33" s="5" customFormat="1" ht="11.25" customHeight="1" x14ac:dyDescent="0.2">
      <c r="A221" s="136" t="s">
        <v>265</v>
      </c>
      <c r="B221" s="151" t="s">
        <v>43</v>
      </c>
      <c r="C221" s="165"/>
      <c r="D221" s="171"/>
      <c r="E221" s="171"/>
      <c r="F221" s="170"/>
      <c r="G221" s="8"/>
      <c r="H221" s="171"/>
      <c r="I221" s="171"/>
      <c r="J221" s="171"/>
      <c r="K221" s="171"/>
      <c r="L221" s="171"/>
      <c r="M221" s="177"/>
      <c r="N221" s="1"/>
      <c r="O221" s="1"/>
      <c r="P221" s="156"/>
      <c r="Q221" s="156"/>
      <c r="R221" s="156"/>
      <c r="S221" s="156"/>
      <c r="T221" s="156"/>
      <c r="U221" s="84"/>
      <c r="V221" s="4"/>
      <c r="W221" s="4"/>
      <c r="X221" s="4"/>
      <c r="Y221" s="4"/>
      <c r="Z221" s="4"/>
      <c r="AA221" s="4"/>
      <c r="AB221" s="4"/>
      <c r="AC221" s="4"/>
      <c r="AD221" s="4"/>
      <c r="AE221" s="1"/>
      <c r="AF221" s="1"/>
      <c r="AG221" s="1"/>
    </row>
    <row r="222" spans="1:33" s="5" customFormat="1" ht="11.25" customHeight="1" x14ac:dyDescent="0.2">
      <c r="A222" s="136" t="s">
        <v>265</v>
      </c>
      <c r="B222" s="152" t="s">
        <v>42</v>
      </c>
      <c r="C222" s="165" t="s">
        <v>35</v>
      </c>
      <c r="D222" s="171">
        <v>20591.889932800001</v>
      </c>
      <c r="E222" s="171">
        <v>25842.779999999995</v>
      </c>
      <c r="F222" s="172">
        <v>125.49979668857914</v>
      </c>
      <c r="G222" s="8"/>
      <c r="H222" s="171">
        <v>38662.779999999992</v>
      </c>
      <c r="I222" s="171">
        <v>35457.779999999992</v>
      </c>
      <c r="J222" s="171">
        <v>29047.779999999995</v>
      </c>
      <c r="K222" s="171">
        <v>25842.779999999995</v>
      </c>
      <c r="L222" s="171">
        <v>22637.779999999995</v>
      </c>
      <c r="M222" s="177"/>
      <c r="N222" s="1"/>
      <c r="O222" s="1"/>
      <c r="P222" s="156">
        <v>149.60766604831213</v>
      </c>
      <c r="Q222" s="156">
        <v>137.20574953623409</v>
      </c>
      <c r="R222" s="156">
        <v>112.40191651207805</v>
      </c>
      <c r="S222" s="156">
        <v>100</v>
      </c>
      <c r="T222" s="156">
        <v>87.598083487921969</v>
      </c>
      <c r="U222" s="84"/>
      <c r="V222" s="4"/>
      <c r="W222" s="4"/>
      <c r="X222" s="4"/>
      <c r="Y222" s="4"/>
      <c r="Z222" s="4"/>
      <c r="AA222" s="4"/>
      <c r="AB222" s="4"/>
      <c r="AC222" s="4"/>
      <c r="AD222" s="4"/>
      <c r="AE222" s="1"/>
      <c r="AF222" s="1"/>
      <c r="AG222" s="1"/>
    </row>
    <row r="223" spans="1:33" s="5" customFormat="1" ht="11.25" customHeight="1" x14ac:dyDescent="0.2">
      <c r="A223" s="136" t="s">
        <v>265</v>
      </c>
      <c r="B223" s="152" t="s">
        <v>41</v>
      </c>
      <c r="C223" s="165" t="s">
        <v>35</v>
      </c>
      <c r="D223" s="171">
        <v>21558.365061963897</v>
      </c>
      <c r="E223" s="171">
        <v>23148.606050378447</v>
      </c>
      <c r="F223" s="172">
        <v>107.37644521671201</v>
      </c>
      <c r="G223" s="8"/>
      <c r="H223" s="171">
        <v>27542.514280368949</v>
      </c>
      <c r="I223" s="171">
        <v>26516.636986528541</v>
      </c>
      <c r="J223" s="171">
        <v>24427.941635100702</v>
      </c>
      <c r="K223" s="171">
        <v>23148.606050378447</v>
      </c>
      <c r="L223" s="171">
        <v>21576.269370514285</v>
      </c>
      <c r="M223" s="177"/>
      <c r="N223" s="1"/>
      <c r="O223" s="1"/>
      <c r="P223" s="156">
        <v>118.98130807716029</v>
      </c>
      <c r="Q223" s="156">
        <v>114.54960583293969</v>
      </c>
      <c r="R223" s="156">
        <v>105.52662040184204</v>
      </c>
      <c r="S223" s="156">
        <v>100</v>
      </c>
      <c r="T223" s="156">
        <v>93.207639905218159</v>
      </c>
      <c r="U223" s="84"/>
      <c r="V223" s="4"/>
      <c r="W223" s="4"/>
      <c r="X223" s="4"/>
      <c r="Y223" s="4"/>
      <c r="Z223" s="4"/>
      <c r="AA223" s="4"/>
      <c r="AB223" s="4"/>
      <c r="AC223" s="4"/>
      <c r="AD223" s="4"/>
      <c r="AE223" s="1"/>
      <c r="AF223" s="1"/>
      <c r="AG223" s="1"/>
    </row>
    <row r="224" spans="1:33" s="5" customFormat="1" ht="11.25" customHeight="1" x14ac:dyDescent="0.2">
      <c r="A224" s="136" t="s">
        <v>265</v>
      </c>
      <c r="B224" s="152" t="s">
        <v>40</v>
      </c>
      <c r="C224" s="165" t="s">
        <v>35</v>
      </c>
      <c r="D224" s="171">
        <v>9645.4837890412673</v>
      </c>
      <c r="E224" s="171">
        <v>9916.8385723787833</v>
      </c>
      <c r="F224" s="172">
        <v>102.81328328648291</v>
      </c>
      <c r="G224" s="8"/>
      <c r="H224" s="171">
        <v>12536.809732311038</v>
      </c>
      <c r="I224" s="171">
        <v>11953.256873577977</v>
      </c>
      <c r="J224" s="171">
        <v>10749.792681111845</v>
      </c>
      <c r="K224" s="171">
        <v>9916.8385723787833</v>
      </c>
      <c r="L224" s="171">
        <v>8908.4144467307488</v>
      </c>
      <c r="M224" s="177"/>
      <c r="N224" s="1"/>
      <c r="O224" s="1"/>
      <c r="P224" s="156">
        <v>126.4194192615943</v>
      </c>
      <c r="Q224" s="156">
        <v>120.53495462627775</v>
      </c>
      <c r="R224" s="156">
        <v>108.39939162721753</v>
      </c>
      <c r="S224" s="156">
        <v>100</v>
      </c>
      <c r="T224" s="156">
        <v>89.831193496919653</v>
      </c>
      <c r="U224" s="84"/>
      <c r="V224" s="4"/>
      <c r="W224" s="4"/>
      <c r="X224" s="4"/>
      <c r="Y224" s="4"/>
      <c r="Z224" s="4"/>
      <c r="AA224" s="4"/>
      <c r="AB224" s="4"/>
      <c r="AC224" s="4"/>
      <c r="AD224" s="4"/>
      <c r="AE224" s="1"/>
      <c r="AF224" s="1"/>
      <c r="AG224" s="1"/>
    </row>
    <row r="225" spans="1:33" s="5" customFormat="1" ht="11.25" customHeight="1" x14ac:dyDescent="0.2">
      <c r="A225" s="136" t="s">
        <v>265</v>
      </c>
      <c r="B225" s="152" t="s">
        <v>39</v>
      </c>
      <c r="C225" s="165" t="s">
        <v>35</v>
      </c>
      <c r="D225" s="171">
        <v>4179.6337971775447</v>
      </c>
      <c r="E225" s="171">
        <v>4519.4703217193783</v>
      </c>
      <c r="F225" s="172">
        <v>108.13077271916312</v>
      </c>
      <c r="G225" s="8"/>
      <c r="H225" s="171">
        <v>4991.7849973869797</v>
      </c>
      <c r="I225" s="171">
        <v>4873.7063284700798</v>
      </c>
      <c r="J225" s="171">
        <v>4637.5489906362791</v>
      </c>
      <c r="K225" s="171">
        <v>4519.4703217193783</v>
      </c>
      <c r="L225" s="171">
        <v>4368.6048564446737</v>
      </c>
      <c r="M225" s="177"/>
      <c r="N225" s="1"/>
      <c r="O225" s="1"/>
      <c r="P225" s="156">
        <v>110.45066439307682</v>
      </c>
      <c r="Q225" s="156">
        <v>107.83799829480762</v>
      </c>
      <c r="R225" s="156">
        <v>102.61266609826922</v>
      </c>
      <c r="S225" s="156">
        <v>100</v>
      </c>
      <c r="T225" s="156">
        <v>96.661877287927183</v>
      </c>
      <c r="U225" s="84"/>
      <c r="V225" s="4"/>
      <c r="W225" s="4"/>
      <c r="X225" s="4"/>
      <c r="Y225" s="4"/>
      <c r="Z225" s="4"/>
      <c r="AA225" s="4"/>
      <c r="AB225" s="4"/>
      <c r="AC225" s="4"/>
      <c r="AD225" s="4"/>
      <c r="AE225" s="1"/>
      <c r="AF225" s="1"/>
      <c r="AG225" s="1"/>
    </row>
    <row r="226" spans="1:33" s="5" customFormat="1" ht="11.25" customHeight="1" x14ac:dyDescent="0.2">
      <c r="A226" s="136" t="s">
        <v>265</v>
      </c>
      <c r="B226" s="151" t="s">
        <v>38</v>
      </c>
      <c r="C226" s="168" t="s">
        <v>35</v>
      </c>
      <c r="D226" s="169">
        <v>7733.2474757450855</v>
      </c>
      <c r="E226" s="169">
        <v>8712.297156280285</v>
      </c>
      <c r="F226" s="170">
        <v>112.66026573707795</v>
      </c>
      <c r="G226" s="8"/>
      <c r="H226" s="169">
        <v>10013.919550670931</v>
      </c>
      <c r="I226" s="169">
        <v>9689.6737844804848</v>
      </c>
      <c r="J226" s="169">
        <v>9040.5999633525789</v>
      </c>
      <c r="K226" s="169">
        <v>8712.297156280285</v>
      </c>
      <c r="L226" s="169">
        <v>8299.2500673388622</v>
      </c>
      <c r="M226" s="163"/>
      <c r="N226" s="1"/>
      <c r="O226" s="9"/>
      <c r="P226" s="155">
        <v>114.94005967705507</v>
      </c>
      <c r="Q226" s="155">
        <v>111.21835734787415</v>
      </c>
      <c r="R226" s="155">
        <v>103.76826916234872</v>
      </c>
      <c r="S226" s="155">
        <v>100</v>
      </c>
      <c r="T226" s="155">
        <v>95.259033507096618</v>
      </c>
      <c r="U226" s="84"/>
      <c r="V226" s="8"/>
      <c r="W226" s="8"/>
      <c r="X226" s="8"/>
      <c r="Y226" s="8"/>
      <c r="Z226" s="8"/>
      <c r="AA226" s="8"/>
      <c r="AB226" s="8"/>
      <c r="AC226" s="8"/>
      <c r="AD226" s="8"/>
      <c r="AE226" s="1"/>
      <c r="AF226" s="1"/>
      <c r="AG226" s="1"/>
    </row>
    <row r="227" spans="1:33" s="5" customFormat="1" ht="11.25" customHeight="1" x14ac:dyDescent="0.2">
      <c r="A227" s="136" t="s">
        <v>265</v>
      </c>
      <c r="B227" s="152" t="s">
        <v>37</v>
      </c>
      <c r="C227" s="165" t="s">
        <v>35</v>
      </c>
      <c r="D227" s="171">
        <v>10946.406143758733</v>
      </c>
      <c r="E227" s="171">
        <v>15925.941427621212</v>
      </c>
      <c r="F227" s="172">
        <v>145.49013821035354</v>
      </c>
      <c r="G227" s="8"/>
      <c r="H227" s="171">
        <v>26125.970267688954</v>
      </c>
      <c r="I227" s="171">
        <v>23504.523126422013</v>
      </c>
      <c r="J227" s="171">
        <v>18297.98731888815</v>
      </c>
      <c r="K227" s="171">
        <v>15925.941427621212</v>
      </c>
      <c r="L227" s="171">
        <v>13729.365553269246</v>
      </c>
      <c r="M227" s="177"/>
      <c r="N227" s="1"/>
      <c r="O227" s="1"/>
      <c r="P227" s="156">
        <v>164.04663037613142</v>
      </c>
      <c r="Q227" s="156">
        <v>147.58639690622536</v>
      </c>
      <c r="R227" s="156">
        <v>114.89422714536029</v>
      </c>
      <c r="S227" s="156">
        <v>100</v>
      </c>
      <c r="T227" s="156">
        <v>86.207560260504749</v>
      </c>
      <c r="U227" s="84"/>
      <c r="V227" s="4"/>
      <c r="W227" s="4"/>
      <c r="X227" s="4"/>
      <c r="Y227" s="4"/>
      <c r="Z227" s="4"/>
      <c r="AA227" s="4"/>
      <c r="AB227" s="4"/>
      <c r="AC227" s="4"/>
      <c r="AD227" s="4"/>
      <c r="AE227" s="1"/>
      <c r="AF227" s="1"/>
      <c r="AG227" s="1"/>
    </row>
    <row r="228" spans="1:33" s="5" customFormat="1" ht="11.25" customHeight="1" x14ac:dyDescent="0.2">
      <c r="A228" s="136" t="s">
        <v>265</v>
      </c>
      <c r="B228" s="151" t="s">
        <v>36</v>
      </c>
      <c r="C228" s="168" t="s">
        <v>35</v>
      </c>
      <c r="D228" s="169">
        <v>6766.7723465811887</v>
      </c>
      <c r="E228" s="169">
        <v>11406.471105901834</v>
      </c>
      <c r="F228" s="170">
        <v>168.56590589551581</v>
      </c>
      <c r="G228" s="8"/>
      <c r="H228" s="169">
        <v>21134.185270301976</v>
      </c>
      <c r="I228" s="169">
        <v>18630.816797951935</v>
      </c>
      <c r="J228" s="169">
        <v>13660.438328251872</v>
      </c>
      <c r="K228" s="169">
        <v>11406.471105901834</v>
      </c>
      <c r="L228" s="169">
        <v>9360.7606968245727</v>
      </c>
      <c r="M228" s="163"/>
      <c r="N228" s="1"/>
      <c r="O228" s="9"/>
      <c r="P228" s="155">
        <v>185.28241621869287</v>
      </c>
      <c r="Q228" s="155">
        <v>163.33550161988438</v>
      </c>
      <c r="R228" s="155">
        <v>119.76042547623524</v>
      </c>
      <c r="S228" s="155">
        <v>100</v>
      </c>
      <c r="T228" s="155">
        <v>82.06535228920373</v>
      </c>
      <c r="U228" s="84"/>
      <c r="V228" s="8"/>
      <c r="W228" s="8"/>
      <c r="X228" s="8"/>
      <c r="Y228" s="8"/>
      <c r="Z228" s="8"/>
      <c r="AA228" s="8"/>
      <c r="AB228" s="8"/>
      <c r="AC228" s="8"/>
      <c r="AD228" s="8"/>
      <c r="AE228" s="1"/>
      <c r="AF228" s="1"/>
      <c r="AG228" s="1"/>
    </row>
    <row r="229" spans="1:33" s="5" customFormat="1" ht="11.25" customHeight="1" x14ac:dyDescent="0.25">
      <c r="A229" s="136" t="s">
        <v>265</v>
      </c>
      <c r="B229" s="152" t="s">
        <v>34</v>
      </c>
      <c r="C229" s="167" t="s">
        <v>33</v>
      </c>
      <c r="D229" s="171">
        <v>13.851120687105167</v>
      </c>
      <c r="E229" s="171">
        <v>23.35036693100017</v>
      </c>
      <c r="F229" s="172">
        <v>168.58106617133456</v>
      </c>
      <c r="G229" s="8"/>
      <c r="H229" s="171">
        <v>37.278594518315018</v>
      </c>
      <c r="I229" s="171">
        <v>34.040257466410615</v>
      </c>
      <c r="J229" s="171">
        <v>26.885308374685778</v>
      </c>
      <c r="K229" s="171">
        <v>23.35036693100017</v>
      </c>
      <c r="L229" s="171">
        <v>20.173447985671583</v>
      </c>
      <c r="M229" s="177"/>
      <c r="N229" s="1"/>
      <c r="O229" s="1"/>
      <c r="P229" s="156">
        <v>159.64885960238851</v>
      </c>
      <c r="Q229" s="156">
        <v>145.78039637235182</v>
      </c>
      <c r="R229" s="156">
        <v>115.13869762360174</v>
      </c>
      <c r="S229" s="156">
        <v>100</v>
      </c>
      <c r="T229" s="156">
        <v>86.394565212973689</v>
      </c>
      <c r="U229" s="84"/>
      <c r="V229" s="4"/>
      <c r="W229" s="4"/>
      <c r="X229" s="339" t="s">
        <v>229</v>
      </c>
      <c r="Y229" s="340"/>
      <c r="Z229" s="340"/>
      <c r="AA229" s="340"/>
      <c r="AB229" s="340"/>
      <c r="AC229" s="340"/>
      <c r="AD229" s="340"/>
      <c r="AE229" s="340"/>
      <c r="AF229" s="340"/>
      <c r="AG229" s="1"/>
    </row>
    <row r="230" spans="1:33" s="5" customFormat="1" ht="11.25" customHeight="1" x14ac:dyDescent="0.25">
      <c r="A230" s="136" t="s">
        <v>265</v>
      </c>
      <c r="B230" s="1"/>
      <c r="C230" s="19"/>
      <c r="D230" s="35">
        <v>0</v>
      </c>
      <c r="E230" s="35">
        <v>0</v>
      </c>
      <c r="F230" s="36"/>
      <c r="G230" s="36"/>
      <c r="H230" s="35">
        <v>0</v>
      </c>
      <c r="I230" s="35">
        <v>0</v>
      </c>
      <c r="J230" s="35">
        <v>0</v>
      </c>
      <c r="K230" s="35">
        <v>0</v>
      </c>
      <c r="L230" s="35"/>
      <c r="M230" s="35"/>
      <c r="N230" s="35"/>
      <c r="O230" s="1"/>
      <c r="P230" s="4"/>
      <c r="Q230" s="4"/>
      <c r="R230" s="4"/>
      <c r="S230" s="4"/>
      <c r="T230" s="4"/>
      <c r="U230" s="84"/>
      <c r="V230" s="4"/>
      <c r="W230" s="4"/>
      <c r="X230" s="192" t="s">
        <v>261</v>
      </c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s="5" customFormat="1" x14ac:dyDescent="0.2">
      <c r="A231" s="136" t="s">
        <v>266</v>
      </c>
      <c r="B231" s="141" t="s">
        <v>148</v>
      </c>
      <c r="C231" s="140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140"/>
      <c r="O231" s="140"/>
      <c r="P231" s="140"/>
      <c r="Q231" s="140"/>
      <c r="R231" s="140"/>
      <c r="S231" s="140"/>
      <c r="T231" s="140"/>
      <c r="U231" s="140"/>
      <c r="V231" s="140"/>
      <c r="W231" s="140"/>
      <c r="X231" s="140"/>
      <c r="Y231" s="140"/>
      <c r="Z231" s="140"/>
      <c r="AA231" s="140"/>
      <c r="AB231" s="140"/>
      <c r="AC231" s="140"/>
      <c r="AD231" s="140"/>
      <c r="AE231" s="140"/>
      <c r="AF231" s="140"/>
      <c r="AG231" s="1"/>
    </row>
    <row r="232" spans="1:33" s="5" customFormat="1" x14ac:dyDescent="0.2">
      <c r="A232" s="136" t="s">
        <v>266</v>
      </c>
      <c r="B232" s="141" t="s">
        <v>149</v>
      </c>
      <c r="C232" s="140"/>
      <c r="D232" s="140" t="s">
        <v>121</v>
      </c>
      <c r="E232" s="140" t="s">
        <v>121</v>
      </c>
      <c r="F232" s="140"/>
      <c r="G232" s="140"/>
      <c r="H232" s="143" t="s">
        <v>137</v>
      </c>
      <c r="I232" s="143" t="s">
        <v>208</v>
      </c>
      <c r="J232" s="143" t="s">
        <v>209</v>
      </c>
      <c r="K232" s="143" t="s">
        <v>136</v>
      </c>
      <c r="L232" s="143" t="s">
        <v>210</v>
      </c>
      <c r="M232" s="140"/>
      <c r="N232" s="140"/>
      <c r="O232" s="140"/>
      <c r="P232" s="140"/>
      <c r="Q232" s="140"/>
      <c r="R232" s="140"/>
      <c r="S232" s="140"/>
      <c r="T232" s="140"/>
      <c r="U232" s="140"/>
      <c r="V232" s="140"/>
      <c r="W232" s="140"/>
      <c r="X232" s="140"/>
      <c r="Y232" s="140"/>
      <c r="Z232" s="140"/>
      <c r="AA232" s="140"/>
      <c r="AB232" s="140"/>
      <c r="AC232" s="140"/>
      <c r="AD232" s="140"/>
      <c r="AE232" s="140"/>
      <c r="AF232" s="140"/>
      <c r="AG232" s="1"/>
    </row>
    <row r="233" spans="1:33" s="5" customFormat="1" ht="12.75" customHeight="1" x14ac:dyDescent="0.25">
      <c r="A233" s="136" t="s">
        <v>266</v>
      </c>
      <c r="B233" s="149" t="s">
        <v>266</v>
      </c>
      <c r="C233" s="158"/>
      <c r="D233" s="185">
        <v>2022</v>
      </c>
      <c r="E233" s="185">
        <v>2023</v>
      </c>
      <c r="F233" s="341" t="s">
        <v>256</v>
      </c>
      <c r="G233" s="186"/>
      <c r="H233" s="179"/>
      <c r="I233" s="179"/>
      <c r="J233" s="179" t="s">
        <v>258</v>
      </c>
      <c r="K233" s="179"/>
      <c r="L233" s="179"/>
      <c r="M233" s="179"/>
      <c r="N233" s="142"/>
      <c r="O233" s="142"/>
      <c r="P233" s="179"/>
      <c r="Q233" s="179"/>
      <c r="R233" s="179" t="s">
        <v>217</v>
      </c>
      <c r="S233" s="179"/>
      <c r="T233" s="179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1"/>
      <c r="AF233" s="1"/>
      <c r="AG233" s="1"/>
    </row>
    <row r="234" spans="1:33" s="5" customFormat="1" ht="12" x14ac:dyDescent="0.25">
      <c r="A234" s="136" t="s">
        <v>266</v>
      </c>
      <c r="B234" s="150" t="s">
        <v>84</v>
      </c>
      <c r="C234" s="158"/>
      <c r="D234" s="185"/>
      <c r="E234" s="330" t="s">
        <v>259</v>
      </c>
      <c r="F234" s="342"/>
      <c r="G234" s="186"/>
      <c r="H234" s="187" t="s">
        <v>83</v>
      </c>
      <c r="I234" s="185" t="s">
        <v>82</v>
      </c>
      <c r="J234" s="185" t="s">
        <v>81</v>
      </c>
      <c r="K234" s="214" t="s">
        <v>80</v>
      </c>
      <c r="L234" s="185" t="s">
        <v>79</v>
      </c>
      <c r="M234" s="205"/>
      <c r="N234" s="191"/>
      <c r="O234" s="191"/>
      <c r="P234" s="188" t="s">
        <v>83</v>
      </c>
      <c r="Q234" s="185" t="s">
        <v>82</v>
      </c>
      <c r="R234" s="185" t="s">
        <v>81</v>
      </c>
      <c r="S234" s="214" t="s">
        <v>80</v>
      </c>
      <c r="T234" s="185" t="s">
        <v>79</v>
      </c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1"/>
      <c r="AF234" s="1"/>
      <c r="AG234" s="1"/>
    </row>
    <row r="235" spans="1:33" s="5" customFormat="1" x14ac:dyDescent="0.2">
      <c r="A235" s="136" t="s">
        <v>266</v>
      </c>
      <c r="B235" s="9" t="s">
        <v>21</v>
      </c>
      <c r="C235" s="159" t="s">
        <v>20</v>
      </c>
      <c r="D235" s="160">
        <v>25000</v>
      </c>
      <c r="E235" s="160">
        <v>25000</v>
      </c>
      <c r="F235" s="160"/>
      <c r="G235" s="78"/>
      <c r="H235" s="178">
        <v>40000</v>
      </c>
      <c r="I235" s="178">
        <v>35000</v>
      </c>
      <c r="J235" s="178">
        <v>30000</v>
      </c>
      <c r="K235" s="178">
        <v>25000</v>
      </c>
      <c r="L235" s="178">
        <v>20000</v>
      </c>
      <c r="M235" s="178"/>
      <c r="N235" s="2"/>
      <c r="O235" s="2"/>
      <c r="P235" s="8">
        <v>160</v>
      </c>
      <c r="Q235" s="8">
        <v>140</v>
      </c>
      <c r="R235" s="8">
        <v>120</v>
      </c>
      <c r="S235" s="8">
        <v>100</v>
      </c>
      <c r="T235" s="8">
        <v>80</v>
      </c>
      <c r="U235" s="62"/>
      <c r="V235" s="82"/>
      <c r="W235" s="82"/>
      <c r="X235" s="82"/>
      <c r="Y235" s="82"/>
      <c r="Z235" s="82"/>
      <c r="AA235" s="82"/>
      <c r="AB235" s="82"/>
      <c r="AC235" s="82"/>
      <c r="AD235" s="82"/>
      <c r="AE235" s="1"/>
      <c r="AF235" s="1"/>
      <c r="AG235" s="1"/>
    </row>
    <row r="236" spans="1:33" s="5" customFormat="1" x14ac:dyDescent="0.2">
      <c r="A236" s="136" t="s">
        <v>266</v>
      </c>
      <c r="B236" s="9" t="s">
        <v>207</v>
      </c>
      <c r="C236" s="159" t="s">
        <v>206</v>
      </c>
      <c r="D236" s="160">
        <v>2200</v>
      </c>
      <c r="E236" s="160">
        <v>2200</v>
      </c>
      <c r="F236" s="160"/>
      <c r="G236" s="78"/>
      <c r="H236" s="161">
        <v>2200</v>
      </c>
      <c r="I236" s="161">
        <v>2200</v>
      </c>
      <c r="J236" s="161">
        <v>2200</v>
      </c>
      <c r="K236" s="161">
        <v>2200</v>
      </c>
      <c r="L236" s="161">
        <v>2200</v>
      </c>
      <c r="M236" s="163"/>
      <c r="N236" s="9"/>
      <c r="O236" s="9"/>
      <c r="P236" s="8">
        <v>100</v>
      </c>
      <c r="Q236" s="8">
        <v>100</v>
      </c>
      <c r="R236" s="8">
        <v>100</v>
      </c>
      <c r="S236" s="8">
        <v>100</v>
      </c>
      <c r="T236" s="8">
        <v>100</v>
      </c>
      <c r="U236" s="82"/>
      <c r="V236" s="82"/>
      <c r="W236" s="82"/>
      <c r="X236" s="82"/>
      <c r="Y236" s="82"/>
      <c r="Z236" s="82"/>
      <c r="AA236" s="82"/>
      <c r="AB236" s="82"/>
      <c r="AC236" s="82"/>
      <c r="AD236" s="82"/>
      <c r="AE236" s="1"/>
      <c r="AF236" s="1"/>
      <c r="AG236" s="1"/>
    </row>
    <row r="237" spans="1:33" s="5" customFormat="1" ht="6" customHeight="1" x14ac:dyDescent="0.2">
      <c r="A237" s="136" t="s">
        <v>266</v>
      </c>
      <c r="B237" s="9"/>
      <c r="C237" s="162"/>
      <c r="D237" s="161"/>
      <c r="E237" s="161"/>
      <c r="F237" s="161"/>
      <c r="G237" s="137"/>
      <c r="H237" s="161"/>
      <c r="I237" s="161"/>
      <c r="J237" s="161"/>
      <c r="K237" s="161"/>
      <c r="L237" s="161"/>
      <c r="M237" s="161"/>
      <c r="N237" s="1"/>
      <c r="O237" s="1"/>
      <c r="P237" s="84"/>
      <c r="Q237" s="182"/>
      <c r="R237" s="182"/>
      <c r="S237" s="182"/>
      <c r="T237" s="182"/>
      <c r="U237" s="84"/>
      <c r="V237" s="82"/>
      <c r="W237" s="82"/>
      <c r="X237" s="82"/>
      <c r="Y237" s="82"/>
      <c r="Z237" s="82"/>
      <c r="AA237" s="82"/>
      <c r="AB237" s="82"/>
      <c r="AC237" s="82"/>
      <c r="AD237" s="82"/>
      <c r="AE237" s="1"/>
      <c r="AF237" s="1"/>
      <c r="AG237" s="1"/>
    </row>
    <row r="238" spans="1:33" s="5" customFormat="1" ht="6" customHeight="1" x14ac:dyDescent="0.2">
      <c r="A238" s="136" t="s">
        <v>266</v>
      </c>
      <c r="B238" s="9"/>
      <c r="C238" s="159"/>
      <c r="D238" s="163"/>
      <c r="E238" s="163"/>
      <c r="F238" s="164"/>
      <c r="G238" s="8"/>
      <c r="H238" s="177"/>
      <c r="I238" s="177"/>
      <c r="J238" s="177"/>
      <c r="K238" s="177"/>
      <c r="L238" s="177"/>
      <c r="M238" s="177"/>
      <c r="N238" s="1"/>
      <c r="O238" s="1"/>
      <c r="P238" s="84"/>
      <c r="Q238" s="182"/>
      <c r="R238" s="182"/>
      <c r="S238" s="182"/>
      <c r="T238" s="182"/>
      <c r="U238" s="84"/>
      <c r="V238" s="26"/>
      <c r="W238" s="26"/>
      <c r="X238" s="26"/>
      <c r="Y238" s="26"/>
      <c r="Z238" s="26"/>
      <c r="AA238" s="26"/>
      <c r="AB238" s="26"/>
      <c r="AC238" s="26"/>
      <c r="AD238" s="26"/>
      <c r="AE238" s="1"/>
      <c r="AF238" s="1"/>
      <c r="AG238" s="1"/>
    </row>
    <row r="239" spans="1:33" s="5" customFormat="1" ht="11.25" customHeight="1" x14ac:dyDescent="0.2">
      <c r="A239" s="136" t="s">
        <v>266</v>
      </c>
      <c r="B239" s="151" t="s">
        <v>62</v>
      </c>
      <c r="C239" s="165"/>
      <c r="D239" s="166"/>
      <c r="E239" s="166"/>
      <c r="F239" s="167"/>
      <c r="G239" s="1"/>
      <c r="H239" s="166"/>
      <c r="I239" s="166"/>
      <c r="J239" s="166"/>
      <c r="K239" s="166"/>
      <c r="L239" s="166"/>
      <c r="M239" s="166"/>
      <c r="N239" s="1"/>
      <c r="O239" s="1"/>
      <c r="P239" s="154"/>
      <c r="Q239" s="154"/>
      <c r="R239" s="154"/>
      <c r="S239" s="154"/>
      <c r="T239" s="154"/>
      <c r="U239" s="76"/>
      <c r="V239" s="76"/>
      <c r="W239" s="76"/>
      <c r="X239" s="76"/>
      <c r="Y239" s="76"/>
      <c r="Z239" s="76"/>
      <c r="AA239" s="76"/>
      <c r="AB239" s="76"/>
      <c r="AC239" s="76"/>
      <c r="AD239" s="76"/>
      <c r="AE239" s="1"/>
      <c r="AF239" s="1"/>
      <c r="AG239" s="1"/>
    </row>
    <row r="240" spans="1:33" s="5" customFormat="1" ht="11.25" customHeight="1" x14ac:dyDescent="0.2">
      <c r="A240" s="136" t="s">
        <v>266</v>
      </c>
      <c r="B240" s="151" t="s">
        <v>61</v>
      </c>
      <c r="C240" s="168" t="s">
        <v>35</v>
      </c>
      <c r="D240" s="169">
        <v>8059.9031388839248</v>
      </c>
      <c r="E240" s="169">
        <v>8561.700305487464</v>
      </c>
      <c r="F240" s="170">
        <v>106.22584611696742</v>
      </c>
      <c r="G240" s="8"/>
      <c r="H240" s="169">
        <v>11472.408379027966</v>
      </c>
      <c r="I240" s="169">
        <v>10752.816748531572</v>
      </c>
      <c r="J240" s="169">
        <v>9699.2908135838625</v>
      </c>
      <c r="K240" s="169">
        <v>8561.700305487464</v>
      </c>
      <c r="L240" s="169">
        <v>7223.7043045910668</v>
      </c>
      <c r="M240" s="169"/>
      <c r="N240" s="1"/>
      <c r="O240" s="9"/>
      <c r="P240" s="155">
        <v>133.99684606660358</v>
      </c>
      <c r="Q240" s="155">
        <v>125.59207125761868</v>
      </c>
      <c r="R240" s="155">
        <v>113.28696949795452</v>
      </c>
      <c r="S240" s="155">
        <v>100</v>
      </c>
      <c r="T240" s="155">
        <v>84.372309784788499</v>
      </c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9"/>
      <c r="AF240" s="9"/>
      <c r="AG240" s="1"/>
    </row>
    <row r="241" spans="1:33" s="5" customFormat="1" ht="11.25" customHeight="1" x14ac:dyDescent="0.2">
      <c r="A241" s="136" t="s">
        <v>266</v>
      </c>
      <c r="B241" s="152" t="s">
        <v>60</v>
      </c>
      <c r="C241" s="165" t="s">
        <v>35</v>
      </c>
      <c r="D241" s="171">
        <v>0</v>
      </c>
      <c r="E241" s="171">
        <v>0</v>
      </c>
      <c r="F241" s="172"/>
      <c r="G241" s="8"/>
      <c r="H241" s="171">
        <v>0</v>
      </c>
      <c r="I241" s="171">
        <v>0</v>
      </c>
      <c r="J241" s="171">
        <v>0</v>
      </c>
      <c r="K241" s="171">
        <v>0</v>
      </c>
      <c r="L241" s="171">
        <v>0</v>
      </c>
      <c r="M241" s="171"/>
      <c r="N241" s="171"/>
      <c r="O241" s="171"/>
      <c r="P241" s="156"/>
      <c r="Q241" s="156"/>
      <c r="R241" s="156"/>
      <c r="S241" s="156"/>
      <c r="T241" s="156"/>
      <c r="U241" s="177"/>
      <c r="V241" s="4"/>
      <c r="W241" s="4"/>
      <c r="X241" s="4"/>
      <c r="Y241" s="4"/>
      <c r="Z241" s="4"/>
      <c r="AA241" s="4"/>
      <c r="AB241" s="4"/>
      <c r="AC241" s="4"/>
      <c r="AD241" s="4"/>
      <c r="AE241" s="1"/>
      <c r="AF241" s="1"/>
      <c r="AG241" s="1"/>
    </row>
    <row r="242" spans="1:33" s="5" customFormat="1" ht="11.25" customHeight="1" x14ac:dyDescent="0.2">
      <c r="A242" s="136" t="s">
        <v>266</v>
      </c>
      <c r="B242" s="152" t="s">
        <v>59</v>
      </c>
      <c r="C242" s="165" t="s">
        <v>35</v>
      </c>
      <c r="D242" s="171">
        <v>191.9748790417182</v>
      </c>
      <c r="E242" s="171">
        <v>227.40383310815326</v>
      </c>
      <c r="F242" s="172">
        <v>118.45499486353941</v>
      </c>
      <c r="G242" s="8"/>
      <c r="H242" s="171">
        <v>322.75193469867639</v>
      </c>
      <c r="I242" s="171">
        <v>290.96923416850206</v>
      </c>
      <c r="J242" s="171">
        <v>259.18653363832766</v>
      </c>
      <c r="K242" s="171">
        <v>227.40383310815326</v>
      </c>
      <c r="L242" s="171">
        <v>195.6211325779789</v>
      </c>
      <c r="M242" s="171"/>
      <c r="N242" s="1"/>
      <c r="O242" s="1"/>
      <c r="P242" s="156">
        <v>141.92897731199437</v>
      </c>
      <c r="Q242" s="156">
        <v>127.9526515413296</v>
      </c>
      <c r="R242" s="156">
        <v>113.97632577066479</v>
      </c>
      <c r="S242" s="156">
        <v>100</v>
      </c>
      <c r="T242" s="156">
        <v>86.023674229335214</v>
      </c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1"/>
      <c r="AF242" s="1"/>
      <c r="AG242" s="1"/>
    </row>
    <row r="243" spans="1:33" s="5" customFormat="1" ht="11.25" customHeight="1" x14ac:dyDescent="0.2">
      <c r="A243" s="136" t="s">
        <v>266</v>
      </c>
      <c r="B243" s="152" t="s">
        <v>58</v>
      </c>
      <c r="C243" s="165" t="s">
        <v>35</v>
      </c>
      <c r="D243" s="171">
        <v>1395.111545</v>
      </c>
      <c r="E243" s="171">
        <v>1619.1318500000002</v>
      </c>
      <c r="F243" s="172">
        <v>116.05751925735804</v>
      </c>
      <c r="G243" s="8"/>
      <c r="H243" s="171">
        <v>1747.8436100000001</v>
      </c>
      <c r="I243" s="171">
        <v>1747.8436100000001</v>
      </c>
      <c r="J243" s="171">
        <v>1747.8436100000001</v>
      </c>
      <c r="K243" s="171">
        <v>1619.1318500000002</v>
      </c>
      <c r="L243" s="171">
        <v>1291.99881</v>
      </c>
      <c r="M243" s="171"/>
      <c r="N243" s="1"/>
      <c r="O243" s="1"/>
      <c r="P243" s="156">
        <v>107.94943043088183</v>
      </c>
      <c r="Q243" s="156">
        <v>107.94943043088183</v>
      </c>
      <c r="R243" s="156">
        <v>107.94943043088183</v>
      </c>
      <c r="S243" s="156">
        <v>100</v>
      </c>
      <c r="T243" s="156">
        <v>79.795775124799135</v>
      </c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1"/>
      <c r="AF243" s="1"/>
      <c r="AG243" s="1"/>
    </row>
    <row r="244" spans="1:33" s="5" customFormat="1" ht="11.25" customHeight="1" x14ac:dyDescent="0.2">
      <c r="A244" s="136" t="s">
        <v>266</v>
      </c>
      <c r="B244" s="152" t="s">
        <v>57</v>
      </c>
      <c r="C244" s="165" t="s">
        <v>35</v>
      </c>
      <c r="D244" s="171">
        <v>1595.1786398467432</v>
      </c>
      <c r="E244" s="171">
        <v>1786.5977011494249</v>
      </c>
      <c r="F244" s="172">
        <v>111.99985108383048</v>
      </c>
      <c r="G244" s="8"/>
      <c r="H244" s="171">
        <v>2668.3701149425278</v>
      </c>
      <c r="I244" s="171">
        <v>2374.4459770114936</v>
      </c>
      <c r="J244" s="171">
        <v>2080.5218390804594</v>
      </c>
      <c r="K244" s="171">
        <v>1786.5977011494249</v>
      </c>
      <c r="L244" s="171">
        <v>1492.6735632183904</v>
      </c>
      <c r="M244" s="171"/>
      <c r="N244" s="1"/>
      <c r="O244" s="1"/>
      <c r="P244" s="156">
        <v>149.35483870967741</v>
      </c>
      <c r="Q244" s="156">
        <v>132.90322580645159</v>
      </c>
      <c r="R244" s="156">
        <v>116.45161290322581</v>
      </c>
      <c r="S244" s="156">
        <v>100</v>
      </c>
      <c r="T244" s="156">
        <v>83.548387096774192</v>
      </c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1"/>
      <c r="AF244" s="1"/>
      <c r="AG244" s="1"/>
    </row>
    <row r="245" spans="1:33" s="5" customFormat="1" ht="11.25" customHeight="1" x14ac:dyDescent="0.2">
      <c r="A245" s="136" t="s">
        <v>266</v>
      </c>
      <c r="B245" s="152" t="s">
        <v>56</v>
      </c>
      <c r="C245" s="165" t="s">
        <v>35</v>
      </c>
      <c r="D245" s="171">
        <v>1809.6221475000002</v>
      </c>
      <c r="E245" s="171">
        <v>1810.7700839750003</v>
      </c>
      <c r="F245" s="172">
        <v>100.06343514730884</v>
      </c>
      <c r="G245" s="8"/>
      <c r="H245" s="171">
        <v>2609.2321343600006</v>
      </c>
      <c r="I245" s="171">
        <v>2535.0781175650004</v>
      </c>
      <c r="J245" s="171">
        <v>2172.9241007700007</v>
      </c>
      <c r="K245" s="171">
        <v>1810.7700839750003</v>
      </c>
      <c r="L245" s="171">
        <v>1448.6160671800003</v>
      </c>
      <c r="M245" s="171"/>
      <c r="N245" s="1"/>
      <c r="O245" s="1"/>
      <c r="P245" s="156">
        <v>144.09516467337573</v>
      </c>
      <c r="Q245" s="156">
        <v>140</v>
      </c>
      <c r="R245" s="156">
        <v>120.00000000000001</v>
      </c>
      <c r="S245" s="156">
        <v>100</v>
      </c>
      <c r="T245" s="156">
        <v>80</v>
      </c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1"/>
      <c r="AF245" s="1"/>
      <c r="AG245" s="1"/>
    </row>
    <row r="246" spans="1:33" s="5" customFormat="1" ht="11.25" customHeight="1" x14ac:dyDescent="0.2">
      <c r="A246" s="136" t="s">
        <v>266</v>
      </c>
      <c r="B246" s="152" t="s">
        <v>55</v>
      </c>
      <c r="C246" s="165" t="s">
        <v>35</v>
      </c>
      <c r="D246" s="171">
        <v>1225.0361459863191</v>
      </c>
      <c r="E246" s="171">
        <v>1145.9045191624866</v>
      </c>
      <c r="F246" s="172">
        <v>93.540465962323026</v>
      </c>
      <c r="G246" s="8"/>
      <c r="H246" s="171">
        <v>1239.2491188885404</v>
      </c>
      <c r="I246" s="171">
        <v>1222.8377459605435</v>
      </c>
      <c r="J246" s="171">
        <v>1162.3158920904834</v>
      </c>
      <c r="K246" s="171">
        <v>1145.9045191624866</v>
      </c>
      <c r="L246" s="171">
        <v>1129.49314623449</v>
      </c>
      <c r="M246" s="171"/>
      <c r="N246" s="1"/>
      <c r="O246" s="1"/>
      <c r="P246" s="156">
        <v>108.14593172163043</v>
      </c>
      <c r="Q246" s="156">
        <v>106.71375542303345</v>
      </c>
      <c r="R246" s="156">
        <v>101.43217629859697</v>
      </c>
      <c r="S246" s="156">
        <v>100</v>
      </c>
      <c r="T246" s="156">
        <v>98.567823701403043</v>
      </c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1"/>
      <c r="AF246" s="1"/>
      <c r="AG246" s="1"/>
    </row>
    <row r="247" spans="1:33" s="5" customFormat="1" ht="11.25" customHeight="1" x14ac:dyDescent="0.2">
      <c r="A247" s="136" t="s">
        <v>266</v>
      </c>
      <c r="B247" s="152" t="s">
        <v>26</v>
      </c>
      <c r="C247" s="165" t="s">
        <v>35</v>
      </c>
      <c r="D247" s="171">
        <v>2791.3462016933463</v>
      </c>
      <c r="E247" s="171">
        <v>2955.8415787839381</v>
      </c>
      <c r="F247" s="172">
        <v>105.89304819985432</v>
      </c>
      <c r="G247" s="8"/>
      <c r="H247" s="171">
        <v>3226.4467037839381</v>
      </c>
      <c r="I247" s="171">
        <v>3136.2449954506046</v>
      </c>
      <c r="J247" s="171">
        <v>3046.0432871172716</v>
      </c>
      <c r="K247" s="171">
        <v>2955.8415787839381</v>
      </c>
      <c r="L247" s="171">
        <v>2865.6398704506046</v>
      </c>
      <c r="M247" s="171"/>
      <c r="N247" s="1"/>
      <c r="O247" s="1"/>
      <c r="P247" s="156">
        <v>109.15492653403061</v>
      </c>
      <c r="Q247" s="156">
        <v>106.10328435602041</v>
      </c>
      <c r="R247" s="156">
        <v>103.05164217801021</v>
      </c>
      <c r="S247" s="156">
        <v>100</v>
      </c>
      <c r="T247" s="156">
        <v>96.948357821989788</v>
      </c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1"/>
      <c r="AF247" s="1"/>
      <c r="AG247" s="1"/>
    </row>
    <row r="248" spans="1:33" s="5" customFormat="1" ht="11.25" customHeight="1" x14ac:dyDescent="0.2">
      <c r="A248" s="136" t="s">
        <v>266</v>
      </c>
      <c r="B248" s="151" t="s">
        <v>54</v>
      </c>
      <c r="C248" s="168" t="s">
        <v>35</v>
      </c>
      <c r="D248" s="169">
        <v>5715.8321656219323</v>
      </c>
      <c r="E248" s="169">
        <v>6428.5699799793956</v>
      </c>
      <c r="F248" s="170">
        <v>112.46953713309236</v>
      </c>
      <c r="G248" s="8"/>
      <c r="H248" s="169">
        <v>7420.228907372606</v>
      </c>
      <c r="I248" s="169">
        <v>7104.8867830585523</v>
      </c>
      <c r="J248" s="169">
        <v>6749.8441035064498</v>
      </c>
      <c r="K248" s="169">
        <v>6428.5699799793956</v>
      </c>
      <c r="L248" s="169">
        <v>6104.8184104808088</v>
      </c>
      <c r="M248" s="169"/>
      <c r="N248" s="1"/>
      <c r="O248" s="9"/>
      <c r="P248" s="155">
        <v>115.42580901322611</v>
      </c>
      <c r="Q248" s="155">
        <v>110.52048597410345</v>
      </c>
      <c r="R248" s="155">
        <v>104.99759860322908</v>
      </c>
      <c r="S248" s="155">
        <v>100</v>
      </c>
      <c r="T248" s="155">
        <v>94.963863339640824</v>
      </c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1"/>
      <c r="AF248" s="1"/>
      <c r="AG248" s="1"/>
    </row>
    <row r="249" spans="1:33" s="5" customFormat="1" ht="11.25" customHeight="1" x14ac:dyDescent="0.2">
      <c r="A249" s="136" t="s">
        <v>266</v>
      </c>
      <c r="B249" s="152" t="s">
        <v>53</v>
      </c>
      <c r="C249" s="165" t="s">
        <v>35</v>
      </c>
      <c r="D249" s="171">
        <v>2707.3831264244463</v>
      </c>
      <c r="E249" s="171">
        <v>2967.0672083802215</v>
      </c>
      <c r="F249" s="172">
        <v>109.59170053995024</v>
      </c>
      <c r="G249" s="8"/>
      <c r="H249" s="171">
        <v>3457.8571944295541</v>
      </c>
      <c r="I249" s="171">
        <v>3299.9104843542377</v>
      </c>
      <c r="J249" s="171">
        <v>3125.0139184555378</v>
      </c>
      <c r="K249" s="171">
        <v>2967.0672083802215</v>
      </c>
      <c r="L249" s="171">
        <v>2809.1204983049061</v>
      </c>
      <c r="M249" s="171"/>
      <c r="N249" s="1"/>
      <c r="O249" s="1"/>
      <c r="P249" s="156">
        <v>116.54124937457229</v>
      </c>
      <c r="Q249" s="156">
        <v>111.21792169162632</v>
      </c>
      <c r="R249" s="156">
        <v>105.32332768294597</v>
      </c>
      <c r="S249" s="156">
        <v>100</v>
      </c>
      <c r="T249" s="156">
        <v>94.67667231705407</v>
      </c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1"/>
      <c r="AF249" s="1"/>
      <c r="AG249" s="1"/>
    </row>
    <row r="250" spans="1:33" s="5" customFormat="1" ht="11.25" customHeight="1" x14ac:dyDescent="0.2">
      <c r="A250" s="136" t="s">
        <v>266</v>
      </c>
      <c r="B250" s="151" t="s">
        <v>52</v>
      </c>
      <c r="C250" s="168" t="s">
        <v>35</v>
      </c>
      <c r="D250" s="169">
        <v>16567.081506199203</v>
      </c>
      <c r="E250" s="169">
        <v>17946.111864250797</v>
      </c>
      <c r="F250" s="170">
        <v>108.323918473725</v>
      </c>
      <c r="G250" s="8"/>
      <c r="H250" s="169">
        <v>22119.08399018451</v>
      </c>
      <c r="I250" s="169">
        <v>20993.948527040728</v>
      </c>
      <c r="J250" s="169">
        <v>19495.178204207583</v>
      </c>
      <c r="K250" s="169">
        <v>17946.111864250797</v>
      </c>
      <c r="L250" s="169">
        <v>16194.162585522481</v>
      </c>
      <c r="M250" s="169"/>
      <c r="N250" s="1"/>
      <c r="O250" s="9"/>
      <c r="P250" s="155">
        <v>123.25279234576934</v>
      </c>
      <c r="Q250" s="155">
        <v>116.98327016929674</v>
      </c>
      <c r="R250" s="155">
        <v>108.63176576449729</v>
      </c>
      <c r="S250" s="155">
        <v>100</v>
      </c>
      <c r="T250" s="155">
        <v>90.237722287810698</v>
      </c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1"/>
      <c r="AF250" s="1"/>
      <c r="AG250" s="1"/>
    </row>
    <row r="251" spans="1:33" s="5" customFormat="1" ht="11.25" customHeight="1" x14ac:dyDescent="0.25">
      <c r="A251" s="136" t="s">
        <v>266</v>
      </c>
      <c r="B251" s="152" t="s">
        <v>5</v>
      </c>
      <c r="C251" s="165" t="s">
        <v>35</v>
      </c>
      <c r="D251" s="171">
        <v>0</v>
      </c>
      <c r="E251" s="171">
        <v>0</v>
      </c>
      <c r="F251" s="172"/>
      <c r="G251" s="8"/>
      <c r="H251" s="171">
        <v>0</v>
      </c>
      <c r="I251" s="171">
        <v>0</v>
      </c>
      <c r="J251" s="171">
        <v>0</v>
      </c>
      <c r="K251" s="171">
        <v>0</v>
      </c>
      <c r="L251" s="171">
        <v>0</v>
      </c>
      <c r="M251" s="171"/>
      <c r="N251" s="171"/>
      <c r="O251" s="171"/>
      <c r="P251" s="156"/>
      <c r="Q251" s="156"/>
      <c r="R251" s="156"/>
      <c r="S251" s="156"/>
      <c r="T251" s="156"/>
      <c r="U251" s="4"/>
      <c r="V251" s="4"/>
      <c r="W251" s="4"/>
      <c r="X251" s="339" t="s">
        <v>223</v>
      </c>
      <c r="Y251" s="340"/>
      <c r="Z251" s="340"/>
      <c r="AA251" s="340"/>
      <c r="AB251" s="340"/>
      <c r="AC251" s="340"/>
      <c r="AD251" s="340"/>
      <c r="AE251" s="340"/>
      <c r="AF251" s="340"/>
      <c r="AG251" s="1"/>
    </row>
    <row r="252" spans="1:33" s="5" customFormat="1" ht="11.25" customHeight="1" x14ac:dyDescent="0.25">
      <c r="A252" s="136" t="s">
        <v>266</v>
      </c>
      <c r="B252" s="152" t="s">
        <v>51</v>
      </c>
      <c r="C252" s="165" t="s">
        <v>35</v>
      </c>
      <c r="D252" s="171">
        <v>16567.081506199203</v>
      </c>
      <c r="E252" s="171">
        <v>17946.111864250797</v>
      </c>
      <c r="F252" s="172">
        <v>108.323918473725</v>
      </c>
      <c r="G252" s="8"/>
      <c r="H252" s="171">
        <v>22119.08399018451</v>
      </c>
      <c r="I252" s="171">
        <v>20993.948527040728</v>
      </c>
      <c r="J252" s="171">
        <v>19495.178204207583</v>
      </c>
      <c r="K252" s="171">
        <v>17946.111864250797</v>
      </c>
      <c r="L252" s="171">
        <v>16194.162585522481</v>
      </c>
      <c r="M252" s="171"/>
      <c r="N252" s="1"/>
      <c r="O252" s="1"/>
      <c r="P252" s="156">
        <v>123.25279234576934</v>
      </c>
      <c r="Q252" s="156">
        <v>116.98327016929674</v>
      </c>
      <c r="R252" s="156">
        <v>108.63176576449729</v>
      </c>
      <c r="S252" s="156">
        <v>100</v>
      </c>
      <c r="T252" s="156">
        <v>90.237722287810698</v>
      </c>
      <c r="U252" s="4"/>
      <c r="V252" s="4"/>
      <c r="W252" s="4"/>
      <c r="X252" s="192" t="s">
        <v>260</v>
      </c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s="5" customFormat="1" ht="11.25" customHeight="1" x14ac:dyDescent="0.2">
      <c r="A253" s="136" t="s">
        <v>266</v>
      </c>
      <c r="B253" s="152" t="s">
        <v>50</v>
      </c>
      <c r="C253" s="165" t="s">
        <v>35</v>
      </c>
      <c r="D253" s="171">
        <v>333.09913662177007</v>
      </c>
      <c r="E253" s="171">
        <v>202.77999999999994</v>
      </c>
      <c r="F253" s="172">
        <v>60.87677141903076</v>
      </c>
      <c r="G253" s="8"/>
      <c r="H253" s="171">
        <v>202.77999999999994</v>
      </c>
      <c r="I253" s="171">
        <v>202.77999999999994</v>
      </c>
      <c r="J253" s="171">
        <v>202.77999999999994</v>
      </c>
      <c r="K253" s="171">
        <v>202.77999999999994</v>
      </c>
      <c r="L253" s="171">
        <v>202.77999999999994</v>
      </c>
      <c r="M253" s="171"/>
      <c r="N253" s="1"/>
      <c r="O253" s="1"/>
      <c r="P253" s="156">
        <v>100</v>
      </c>
      <c r="Q253" s="156">
        <v>100</v>
      </c>
      <c r="R253" s="156">
        <v>100</v>
      </c>
      <c r="S253" s="156">
        <v>100</v>
      </c>
      <c r="T253" s="156">
        <v>100</v>
      </c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1"/>
      <c r="AF253" s="1"/>
      <c r="AG253" s="1"/>
    </row>
    <row r="254" spans="1:33" s="5" customFormat="1" ht="11.25" customHeight="1" x14ac:dyDescent="0.2">
      <c r="A254" s="136" t="s">
        <v>266</v>
      </c>
      <c r="B254" s="151" t="s">
        <v>49</v>
      </c>
      <c r="C254" s="168" t="s">
        <v>35</v>
      </c>
      <c r="D254" s="169">
        <v>16233.982369577434</v>
      </c>
      <c r="E254" s="169">
        <v>17743.331864250798</v>
      </c>
      <c r="F254" s="170">
        <v>109.29746910100071</v>
      </c>
      <c r="G254" s="8"/>
      <c r="H254" s="169">
        <v>21916.303990184511</v>
      </c>
      <c r="I254" s="169">
        <v>20791.168527040729</v>
      </c>
      <c r="J254" s="169">
        <v>19292.398204207584</v>
      </c>
      <c r="K254" s="169">
        <v>17743.331864250798</v>
      </c>
      <c r="L254" s="169">
        <v>15991.38258552248</v>
      </c>
      <c r="M254" s="169"/>
      <c r="N254" s="9"/>
      <c r="O254" s="9"/>
      <c r="P254" s="155">
        <v>123.5185373179059</v>
      </c>
      <c r="Q254" s="155">
        <v>117.17736379000327</v>
      </c>
      <c r="R254" s="155">
        <v>108.73041406094556</v>
      </c>
      <c r="S254" s="155">
        <v>100</v>
      </c>
      <c r="T254" s="155">
        <v>90.126153914428329</v>
      </c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1"/>
      <c r="AF254" s="1"/>
      <c r="AG254" s="1"/>
    </row>
    <row r="255" spans="1:33" s="5" customFormat="1" ht="11.25" customHeight="1" x14ac:dyDescent="0.2">
      <c r="A255" s="136" t="s">
        <v>266</v>
      </c>
      <c r="B255" s="153" t="s">
        <v>48</v>
      </c>
      <c r="C255" s="173" t="s">
        <v>46</v>
      </c>
      <c r="D255" s="174">
        <v>0.6493592947830974</v>
      </c>
      <c r="E255" s="174">
        <v>0.70973327457003188</v>
      </c>
      <c r="F255" s="170">
        <v>109.29746910100069</v>
      </c>
      <c r="G255" s="8"/>
      <c r="H255" s="174">
        <v>0.54790759975461278</v>
      </c>
      <c r="I255" s="174">
        <v>0.59403338648687798</v>
      </c>
      <c r="J255" s="174">
        <v>0.64307994014025283</v>
      </c>
      <c r="K255" s="174">
        <v>0.70973327457003188</v>
      </c>
      <c r="L255" s="174">
        <v>0.799569129276124</v>
      </c>
      <c r="M255" s="174"/>
      <c r="N255" s="1"/>
      <c r="O255" s="16"/>
      <c r="P255" s="157">
        <v>77.199085823691192</v>
      </c>
      <c r="Q255" s="157">
        <v>83.698116992859497</v>
      </c>
      <c r="R255" s="157">
        <v>90.608678384121305</v>
      </c>
      <c r="S255" s="157">
        <v>100</v>
      </c>
      <c r="T255" s="157">
        <v>112.65769239303542</v>
      </c>
      <c r="U255" s="73"/>
      <c r="V255" s="4"/>
      <c r="W255" s="4"/>
      <c r="X255" s="4"/>
      <c r="Y255" s="4"/>
      <c r="Z255" s="4"/>
      <c r="AA255" s="4"/>
      <c r="AB255" s="4"/>
      <c r="AC255" s="4"/>
      <c r="AD255" s="4"/>
      <c r="AE255" s="1"/>
      <c r="AF255" s="1"/>
      <c r="AG255" s="1"/>
    </row>
    <row r="256" spans="1:33" s="5" customFormat="1" ht="11.25" customHeight="1" x14ac:dyDescent="0.2">
      <c r="A256" s="136" t="s">
        <v>266</v>
      </c>
      <c r="B256" s="16" t="s">
        <v>47</v>
      </c>
      <c r="C256" s="175" t="s">
        <v>46</v>
      </c>
      <c r="D256" s="176">
        <v>0.99299999999999999</v>
      </c>
      <c r="E256" s="176">
        <v>1.4140000000000004</v>
      </c>
      <c r="F256" s="164">
        <v>142.3967774420947</v>
      </c>
      <c r="G256" s="8"/>
      <c r="H256" s="176">
        <v>1.4140000000000001</v>
      </c>
      <c r="I256" s="176">
        <v>1.4140000000000001</v>
      </c>
      <c r="J256" s="176">
        <v>1.4140000000000001</v>
      </c>
      <c r="K256" s="176">
        <v>1.4140000000000004</v>
      </c>
      <c r="L256" s="176">
        <v>1.4140000000000001</v>
      </c>
      <c r="M256" s="176"/>
      <c r="N256" s="1"/>
      <c r="O256" s="16"/>
      <c r="P256" s="73">
        <v>99.999999999999986</v>
      </c>
      <c r="Q256" s="73">
        <v>99.999999999999986</v>
      </c>
      <c r="R256" s="73">
        <v>99.999999999999986</v>
      </c>
      <c r="S256" s="73">
        <v>100</v>
      </c>
      <c r="T256" s="73">
        <v>99.999999999999986</v>
      </c>
      <c r="U256" s="73"/>
      <c r="V256" s="4"/>
      <c r="W256" s="4"/>
      <c r="X256" s="4"/>
      <c r="Y256" s="4"/>
      <c r="Z256" s="4"/>
      <c r="AA256" s="4"/>
      <c r="AB256" s="4"/>
      <c r="AC256" s="4"/>
      <c r="AD256" s="4"/>
      <c r="AE256" s="1"/>
      <c r="AF256" s="1"/>
      <c r="AG256" s="1"/>
    </row>
    <row r="257" spans="1:33" s="5" customFormat="1" ht="11.25" customHeight="1" x14ac:dyDescent="0.2">
      <c r="A257" s="136" t="s">
        <v>266</v>
      </c>
      <c r="B257" s="9" t="s">
        <v>45</v>
      </c>
      <c r="C257" s="159" t="s">
        <v>35</v>
      </c>
      <c r="D257" s="163">
        <v>25158.099136621771</v>
      </c>
      <c r="E257" s="163">
        <v>35552.780000000006</v>
      </c>
      <c r="F257" s="164">
        <v>141.3174334313957</v>
      </c>
      <c r="G257" s="8"/>
      <c r="H257" s="163">
        <v>56762.780000000006</v>
      </c>
      <c r="I257" s="163">
        <v>49692.780000000006</v>
      </c>
      <c r="J257" s="163">
        <v>42622.780000000006</v>
      </c>
      <c r="K257" s="163">
        <v>35552.780000000006</v>
      </c>
      <c r="L257" s="163">
        <v>28482.780000000002</v>
      </c>
      <c r="M257" s="163"/>
      <c r="N257" s="1"/>
      <c r="O257" s="9"/>
      <c r="P257" s="8">
        <v>159.65778203561015</v>
      </c>
      <c r="Q257" s="8">
        <v>139.77185469040677</v>
      </c>
      <c r="R257" s="8">
        <v>119.88592734520338</v>
      </c>
      <c r="S257" s="8">
        <v>100</v>
      </c>
      <c r="T257" s="8">
        <v>80.114072654796615</v>
      </c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1"/>
      <c r="AF257" s="1"/>
      <c r="AG257" s="1"/>
    </row>
    <row r="258" spans="1:33" s="5" customFormat="1" ht="11.25" customHeight="1" x14ac:dyDescent="0.2">
      <c r="A258" s="136" t="s">
        <v>266</v>
      </c>
      <c r="B258" s="1" t="s">
        <v>44</v>
      </c>
      <c r="C258" s="162" t="s">
        <v>35</v>
      </c>
      <c r="D258" s="177">
        <v>0</v>
      </c>
      <c r="E258" s="177">
        <v>0</v>
      </c>
      <c r="F258" s="164"/>
      <c r="G258" s="8"/>
      <c r="H258" s="177">
        <v>0</v>
      </c>
      <c r="I258" s="177">
        <v>0</v>
      </c>
      <c r="J258" s="177">
        <v>0</v>
      </c>
      <c r="K258" s="177">
        <v>0</v>
      </c>
      <c r="L258" s="177">
        <v>0</v>
      </c>
      <c r="M258" s="177"/>
      <c r="N258" s="177"/>
      <c r="O258" s="177"/>
      <c r="P258" s="4"/>
      <c r="Q258" s="4"/>
      <c r="R258" s="4"/>
      <c r="S258" s="4"/>
      <c r="T258" s="4"/>
      <c r="U258" s="177"/>
      <c r="V258" s="4"/>
      <c r="W258" s="4"/>
      <c r="X258" s="4"/>
      <c r="Y258" s="4"/>
      <c r="Z258" s="4"/>
      <c r="AA258" s="4"/>
      <c r="AB258" s="4"/>
      <c r="AC258" s="4"/>
      <c r="AD258" s="4"/>
      <c r="AE258" s="1"/>
      <c r="AF258" s="1"/>
      <c r="AG258" s="1"/>
    </row>
    <row r="259" spans="1:33" s="5" customFormat="1" ht="11.25" customHeight="1" x14ac:dyDescent="0.2">
      <c r="A259" s="136" t="s">
        <v>266</v>
      </c>
      <c r="B259" s="151" t="s">
        <v>43</v>
      </c>
      <c r="C259" s="165"/>
      <c r="D259" s="171"/>
      <c r="E259" s="171"/>
      <c r="F259" s="170"/>
      <c r="G259" s="8"/>
      <c r="H259" s="171"/>
      <c r="I259" s="171"/>
      <c r="J259" s="171"/>
      <c r="K259" s="171"/>
      <c r="L259" s="171"/>
      <c r="M259" s="171"/>
      <c r="N259" s="171"/>
      <c r="O259" s="171"/>
      <c r="P259" s="156"/>
      <c r="Q259" s="156"/>
      <c r="R259" s="156"/>
      <c r="S259" s="156"/>
      <c r="T259" s="156"/>
      <c r="U259" s="177"/>
      <c r="V259" s="4"/>
      <c r="W259" s="4"/>
      <c r="X259" s="4"/>
      <c r="Y259" s="4"/>
      <c r="Z259" s="4"/>
      <c r="AA259" s="4"/>
      <c r="AB259" s="4"/>
      <c r="AC259" s="4"/>
      <c r="AD259" s="4"/>
      <c r="AE259" s="1"/>
      <c r="AF259" s="1"/>
      <c r="AG259" s="1"/>
    </row>
    <row r="260" spans="1:33" s="5" customFormat="1" ht="11.25" customHeight="1" x14ac:dyDescent="0.2">
      <c r="A260" s="136" t="s">
        <v>266</v>
      </c>
      <c r="B260" s="152" t="s">
        <v>42</v>
      </c>
      <c r="C260" s="165" t="s">
        <v>35</v>
      </c>
      <c r="D260" s="171">
        <v>25158.099136621771</v>
      </c>
      <c r="E260" s="171">
        <v>35552.780000000006</v>
      </c>
      <c r="F260" s="172">
        <v>141.3174334313957</v>
      </c>
      <c r="G260" s="8"/>
      <c r="H260" s="171">
        <v>56762.780000000006</v>
      </c>
      <c r="I260" s="171">
        <v>49692.780000000006</v>
      </c>
      <c r="J260" s="171">
        <v>42622.780000000006</v>
      </c>
      <c r="K260" s="171">
        <v>35552.780000000006</v>
      </c>
      <c r="L260" s="171">
        <v>28482.780000000002</v>
      </c>
      <c r="M260" s="171"/>
      <c r="N260" s="1"/>
      <c r="O260" s="1"/>
      <c r="P260" s="156">
        <v>159.65778203561015</v>
      </c>
      <c r="Q260" s="156">
        <v>139.77185469040677</v>
      </c>
      <c r="R260" s="156">
        <v>119.88592734520338</v>
      </c>
      <c r="S260" s="156">
        <v>100</v>
      </c>
      <c r="T260" s="156">
        <v>80.114072654796615</v>
      </c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1"/>
      <c r="AF260" s="1"/>
      <c r="AG260" s="1"/>
    </row>
    <row r="261" spans="1:33" s="5" customFormat="1" ht="11.25" customHeight="1" x14ac:dyDescent="0.2">
      <c r="A261" s="136" t="s">
        <v>266</v>
      </c>
      <c r="B261" s="152" t="s">
        <v>41</v>
      </c>
      <c r="C261" s="165" t="s">
        <v>35</v>
      </c>
      <c r="D261" s="171">
        <v>16567.081506199203</v>
      </c>
      <c r="E261" s="171">
        <v>17946.111864250797</v>
      </c>
      <c r="F261" s="172">
        <v>108.323918473725</v>
      </c>
      <c r="G261" s="8"/>
      <c r="H261" s="171">
        <v>22119.083990184514</v>
      </c>
      <c r="I261" s="171">
        <v>20993.948527040728</v>
      </c>
      <c r="J261" s="171">
        <v>19495.178204207583</v>
      </c>
      <c r="K261" s="171">
        <v>17946.111864250797</v>
      </c>
      <c r="L261" s="171">
        <v>16194.162585522485</v>
      </c>
      <c r="M261" s="171"/>
      <c r="N261" s="1"/>
      <c r="O261" s="1"/>
      <c r="P261" s="156">
        <v>123.25279234576936</v>
      </c>
      <c r="Q261" s="156">
        <v>116.98327016929674</v>
      </c>
      <c r="R261" s="156">
        <v>108.63176576449729</v>
      </c>
      <c r="S261" s="156">
        <v>100</v>
      </c>
      <c r="T261" s="156">
        <v>90.237722287810712</v>
      </c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1"/>
      <c r="AF261" s="1"/>
      <c r="AG261" s="1"/>
    </row>
    <row r="262" spans="1:33" s="5" customFormat="1" ht="11.25" customHeight="1" x14ac:dyDescent="0.2">
      <c r="A262" s="136" t="s">
        <v>266</v>
      </c>
      <c r="B262" s="152" t="s">
        <v>40</v>
      </c>
      <c r="C262" s="165" t="s">
        <v>35</v>
      </c>
      <c r="D262" s="171">
        <v>7258.5727247394234</v>
      </c>
      <c r="E262" s="171">
        <v>7624.3981102238668</v>
      </c>
      <c r="F262" s="172">
        <v>105.03990797305921</v>
      </c>
      <c r="G262" s="8"/>
      <c r="H262" s="171">
        <v>10320.520858680546</v>
      </c>
      <c r="I262" s="171">
        <v>9664.9679999474774</v>
      </c>
      <c r="J262" s="171">
        <v>8697.9498465569304</v>
      </c>
      <c r="K262" s="171">
        <v>7624.3981102238668</v>
      </c>
      <c r="L262" s="171">
        <v>6350.4408810908035</v>
      </c>
      <c r="M262" s="171"/>
      <c r="N262" s="1"/>
      <c r="O262" s="1"/>
      <c r="P262" s="156">
        <v>135.36177819520387</v>
      </c>
      <c r="Q262" s="156">
        <v>126.76368495222367</v>
      </c>
      <c r="R262" s="156">
        <v>114.08047849565324</v>
      </c>
      <c r="S262" s="156">
        <v>100</v>
      </c>
      <c r="T262" s="156">
        <v>83.291045263956491</v>
      </c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1"/>
      <c r="AF262" s="1"/>
      <c r="AG262" s="1"/>
    </row>
    <row r="263" spans="1:33" s="5" customFormat="1" ht="11.25" customHeight="1" x14ac:dyDescent="0.2">
      <c r="A263" s="136" t="s">
        <v>266</v>
      </c>
      <c r="B263" s="152" t="s">
        <v>39</v>
      </c>
      <c r="C263" s="165" t="s">
        <v>35</v>
      </c>
      <c r="D263" s="171">
        <v>3352.027090171091</v>
      </c>
      <c r="E263" s="171">
        <v>3620.2677420998452</v>
      </c>
      <c r="F263" s="172">
        <v>108.00234141052431</v>
      </c>
      <c r="G263" s="8"/>
      <c r="H263" s="171">
        <v>4072.0621470294482</v>
      </c>
      <c r="I263" s="171">
        <v>3926.928478112548</v>
      </c>
      <c r="J263" s="171">
        <v>3765.4014110167459</v>
      </c>
      <c r="K263" s="171">
        <v>3620.2677420998452</v>
      </c>
      <c r="L263" s="171">
        <v>3475.1340731829446</v>
      </c>
      <c r="M263" s="171"/>
      <c r="N263" s="1"/>
      <c r="O263" s="1"/>
      <c r="P263" s="156">
        <v>112.47958540954627</v>
      </c>
      <c r="Q263" s="156">
        <v>108.47066454357963</v>
      </c>
      <c r="R263" s="156">
        <v>104.00892086596664</v>
      </c>
      <c r="S263" s="156">
        <v>100</v>
      </c>
      <c r="T263" s="156">
        <v>95.991079134033342</v>
      </c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1"/>
      <c r="AF263" s="1"/>
      <c r="AG263" s="1"/>
    </row>
    <row r="264" spans="1:33" s="5" customFormat="1" ht="11.25" customHeight="1" x14ac:dyDescent="0.2">
      <c r="A264" s="136" t="s">
        <v>266</v>
      </c>
      <c r="B264" s="151" t="s">
        <v>38</v>
      </c>
      <c r="C264" s="168" t="s">
        <v>35</v>
      </c>
      <c r="D264" s="169">
        <v>5956.4816912886881</v>
      </c>
      <c r="E264" s="169">
        <v>6701.4460119270852</v>
      </c>
      <c r="F264" s="170">
        <v>112.5067843611087</v>
      </c>
      <c r="G264" s="8"/>
      <c r="H264" s="169">
        <v>7726.50098447452</v>
      </c>
      <c r="I264" s="169">
        <v>7402.0520489807022</v>
      </c>
      <c r="J264" s="169">
        <v>7031.8269466339061</v>
      </c>
      <c r="K264" s="169">
        <v>6701.4460119270852</v>
      </c>
      <c r="L264" s="169">
        <v>6368.587631248738</v>
      </c>
      <c r="M264" s="169"/>
      <c r="N264" s="1"/>
      <c r="O264" s="9"/>
      <c r="P264" s="155">
        <v>115.29602671905532</v>
      </c>
      <c r="Q264" s="155">
        <v>110.45455019419232</v>
      </c>
      <c r="R264" s="155">
        <v>104.92999472231539</v>
      </c>
      <c r="S264" s="155">
        <v>100</v>
      </c>
      <c r="T264" s="155">
        <v>95.03303645085056</v>
      </c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1"/>
      <c r="AF264" s="1"/>
      <c r="AG264" s="1"/>
    </row>
    <row r="265" spans="1:33" s="5" customFormat="1" ht="11.25" customHeight="1" x14ac:dyDescent="0.2">
      <c r="A265" s="136" t="s">
        <v>266</v>
      </c>
      <c r="B265" s="152" t="s">
        <v>37</v>
      </c>
      <c r="C265" s="165" t="s">
        <v>35</v>
      </c>
      <c r="D265" s="171">
        <v>17899.526411882347</v>
      </c>
      <c r="E265" s="171">
        <v>27928.381889776138</v>
      </c>
      <c r="F265" s="172">
        <v>156.02860794817607</v>
      </c>
      <c r="G265" s="8"/>
      <c r="H265" s="171">
        <v>46442.25914131946</v>
      </c>
      <c r="I265" s="171">
        <v>40027.81200005253</v>
      </c>
      <c r="J265" s="171">
        <v>33924.830153443079</v>
      </c>
      <c r="K265" s="171">
        <v>27928.381889776138</v>
      </c>
      <c r="L265" s="171">
        <v>22132.3391189092</v>
      </c>
      <c r="M265" s="171"/>
      <c r="N265" s="1"/>
      <c r="O265" s="1"/>
      <c r="P265" s="156">
        <v>166.29054746032665</v>
      </c>
      <c r="Q265" s="156">
        <v>143.32306167263374</v>
      </c>
      <c r="R265" s="156">
        <v>121.47080445738996</v>
      </c>
      <c r="S265" s="156">
        <v>100</v>
      </c>
      <c r="T265" s="156">
        <v>79.246764836781608</v>
      </c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1"/>
      <c r="AF265" s="1"/>
      <c r="AG265" s="1"/>
    </row>
    <row r="266" spans="1:33" s="5" customFormat="1" ht="11.25" customHeight="1" x14ac:dyDescent="0.2">
      <c r="A266" s="136" t="s">
        <v>266</v>
      </c>
      <c r="B266" s="151" t="s">
        <v>36</v>
      </c>
      <c r="C266" s="168" t="s">
        <v>35</v>
      </c>
      <c r="D266" s="169">
        <v>14547.499321711257</v>
      </c>
      <c r="E266" s="169">
        <v>24308.114147676293</v>
      </c>
      <c r="F266" s="170">
        <v>167.09479485177164</v>
      </c>
      <c r="G266" s="8"/>
      <c r="H266" s="169">
        <v>42370.19699429001</v>
      </c>
      <c r="I266" s="169">
        <v>36100.883521939984</v>
      </c>
      <c r="J266" s="169">
        <v>30159.428742426335</v>
      </c>
      <c r="K266" s="169">
        <v>24308.114147676293</v>
      </c>
      <c r="L266" s="169">
        <v>18657.205045726256</v>
      </c>
      <c r="M266" s="169"/>
      <c r="N266" s="1"/>
      <c r="O266" s="9"/>
      <c r="P266" s="155">
        <v>174.30474752950073</v>
      </c>
      <c r="Q266" s="155">
        <v>148.51371563676406</v>
      </c>
      <c r="R266" s="155">
        <v>124.071446099036</v>
      </c>
      <c r="S266" s="155">
        <v>100</v>
      </c>
      <c r="T266" s="155">
        <v>76.752992570218652</v>
      </c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1"/>
      <c r="AF266" s="1"/>
      <c r="AG266" s="1"/>
    </row>
    <row r="267" spans="1:33" s="5" customFormat="1" ht="11.25" customHeight="1" x14ac:dyDescent="0.25">
      <c r="A267" s="136" t="s">
        <v>266</v>
      </c>
      <c r="B267" s="152" t="s">
        <v>34</v>
      </c>
      <c r="C267" s="167" t="s">
        <v>33</v>
      </c>
      <c r="D267" s="171">
        <v>38.794943617761092</v>
      </c>
      <c r="E267" s="171">
        <v>64.830146532300873</v>
      </c>
      <c r="F267" s="172">
        <v>167.10978412820879</v>
      </c>
      <c r="G267" s="8"/>
      <c r="H267" s="171">
        <v>97.132404295894773</v>
      </c>
      <c r="I267" s="171">
        <v>86.655486586716265</v>
      </c>
      <c r="J267" s="171">
        <v>76.438302053668878</v>
      </c>
      <c r="K267" s="171">
        <v>64.830146532300873</v>
      </c>
      <c r="L267" s="171">
        <v>52.504858449179231</v>
      </c>
      <c r="M267" s="171"/>
      <c r="N267" s="1"/>
      <c r="O267" s="1"/>
      <c r="P267" s="156">
        <v>149.82598295917728</v>
      </c>
      <c r="Q267" s="156">
        <v>133.66541836141178</v>
      </c>
      <c r="R267" s="156">
        <v>117.90549018053565</v>
      </c>
      <c r="S267" s="156">
        <v>100</v>
      </c>
      <c r="T267" s="156">
        <v>80.988338385166685</v>
      </c>
      <c r="U267" s="4"/>
      <c r="V267" s="4"/>
      <c r="W267" s="4"/>
      <c r="X267" s="339" t="s">
        <v>228</v>
      </c>
      <c r="Y267" s="340"/>
      <c r="Z267" s="340"/>
      <c r="AA267" s="340"/>
      <c r="AB267" s="340"/>
      <c r="AC267" s="340"/>
      <c r="AD267" s="340"/>
      <c r="AE267" s="340"/>
      <c r="AF267" s="340"/>
      <c r="AG267" s="1"/>
    </row>
    <row r="268" spans="1:33" s="5" customFormat="1" ht="11.25" customHeight="1" x14ac:dyDescent="0.25">
      <c r="A268" s="136" t="s">
        <v>266</v>
      </c>
      <c r="B268" s="1"/>
      <c r="C268" s="19"/>
      <c r="D268" s="35">
        <v>0</v>
      </c>
      <c r="E268" s="35">
        <v>0</v>
      </c>
      <c r="F268" s="36"/>
      <c r="G268" s="36"/>
      <c r="H268" s="35">
        <v>0</v>
      </c>
      <c r="I268" s="35">
        <v>0</v>
      </c>
      <c r="J268" s="35">
        <v>0</v>
      </c>
      <c r="K268" s="35"/>
      <c r="L268" s="35"/>
      <c r="M268" s="35"/>
      <c r="N268" s="35"/>
      <c r="O268" s="1"/>
      <c r="P268" s="4"/>
      <c r="Q268" s="4"/>
      <c r="R268" s="4"/>
      <c r="S268" s="4"/>
      <c r="T268" s="4"/>
      <c r="U268" s="4"/>
      <c r="V268" s="4"/>
      <c r="W268" s="4"/>
      <c r="X268" s="192" t="s">
        <v>261</v>
      </c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s="5" customFormat="1" x14ac:dyDescent="0.2">
      <c r="A269" s="136" t="s">
        <v>267</v>
      </c>
      <c r="B269" s="141" t="s">
        <v>148</v>
      </c>
      <c r="C269" s="140"/>
      <c r="D269" s="140"/>
      <c r="E269" s="140"/>
      <c r="F269" s="140"/>
      <c r="G269" s="140"/>
      <c r="H269" s="140"/>
      <c r="I269" s="140"/>
      <c r="J269" s="140"/>
      <c r="K269" s="140"/>
      <c r="L269" s="140"/>
      <c r="M269" s="140"/>
      <c r="N269" s="140"/>
      <c r="O269" s="140"/>
      <c r="P269" s="140"/>
      <c r="Q269" s="140"/>
      <c r="R269" s="140"/>
      <c r="S269" s="140"/>
      <c r="T269" s="140"/>
      <c r="U269" s="140"/>
      <c r="V269" s="140"/>
      <c r="W269" s="140"/>
      <c r="X269" s="140"/>
      <c r="Y269" s="140"/>
      <c r="Z269" s="140"/>
      <c r="AA269" s="140"/>
      <c r="AB269" s="140"/>
      <c r="AC269" s="140"/>
      <c r="AD269" s="140"/>
      <c r="AE269" s="140"/>
      <c r="AF269" s="140"/>
      <c r="AG269" s="1"/>
    </row>
    <row r="270" spans="1:33" s="5" customFormat="1" x14ac:dyDescent="0.2">
      <c r="A270" s="136" t="s">
        <v>267</v>
      </c>
      <c r="B270" s="141" t="s">
        <v>149</v>
      </c>
      <c r="C270" s="140"/>
      <c r="D270" s="143" t="s">
        <v>122</v>
      </c>
      <c r="E270" s="143" t="s">
        <v>122</v>
      </c>
      <c r="F270" s="140"/>
      <c r="G270" s="140"/>
      <c r="H270" s="143" t="s">
        <v>135</v>
      </c>
      <c r="I270" s="143" t="s">
        <v>211</v>
      </c>
      <c r="J270" s="143" t="s">
        <v>134</v>
      </c>
      <c r="K270" s="143" t="s">
        <v>212</v>
      </c>
      <c r="L270" s="143" t="s">
        <v>213</v>
      </c>
      <c r="M270" s="140"/>
      <c r="N270" s="140"/>
      <c r="O270" s="140"/>
      <c r="P270" s="140"/>
      <c r="Q270" s="140"/>
      <c r="R270" s="140"/>
      <c r="S270" s="140"/>
      <c r="T270" s="140"/>
      <c r="U270" s="140"/>
      <c r="V270" s="140"/>
      <c r="W270" s="140"/>
      <c r="X270" s="140"/>
      <c r="Y270" s="140"/>
      <c r="Z270" s="140"/>
      <c r="AA270" s="140"/>
      <c r="AB270" s="140"/>
      <c r="AC270" s="140"/>
      <c r="AD270" s="140"/>
      <c r="AE270" s="140"/>
      <c r="AF270" s="140"/>
      <c r="AG270" s="1"/>
    </row>
    <row r="271" spans="1:33" s="5" customFormat="1" ht="12" customHeight="1" x14ac:dyDescent="0.25">
      <c r="A271" s="136" t="s">
        <v>267</v>
      </c>
      <c r="B271" s="149" t="s">
        <v>267</v>
      </c>
      <c r="C271" s="158"/>
      <c r="D271" s="185">
        <v>2022</v>
      </c>
      <c r="E271" s="185">
        <v>2023</v>
      </c>
      <c r="F271" s="341" t="s">
        <v>256</v>
      </c>
      <c r="G271" s="186"/>
      <c r="H271" s="179"/>
      <c r="I271" s="179"/>
      <c r="J271" s="179" t="s">
        <v>258</v>
      </c>
      <c r="K271" s="179"/>
      <c r="L271" s="179"/>
      <c r="M271" s="179"/>
      <c r="N271" s="142"/>
      <c r="O271" s="142"/>
      <c r="P271" s="179"/>
      <c r="Q271" s="179"/>
      <c r="R271" s="179" t="s">
        <v>160</v>
      </c>
      <c r="S271" s="179"/>
      <c r="T271" s="179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1"/>
      <c r="AF271" s="1"/>
      <c r="AG271" s="1"/>
    </row>
    <row r="272" spans="1:33" s="5" customFormat="1" ht="12" x14ac:dyDescent="0.25">
      <c r="A272" s="136" t="s">
        <v>267</v>
      </c>
      <c r="B272" s="150" t="s">
        <v>84</v>
      </c>
      <c r="C272" s="158"/>
      <c r="D272" s="185"/>
      <c r="E272" s="330" t="s">
        <v>259</v>
      </c>
      <c r="F272" s="342"/>
      <c r="G272" s="186"/>
      <c r="H272" s="187" t="s">
        <v>83</v>
      </c>
      <c r="I272" s="185" t="s">
        <v>82</v>
      </c>
      <c r="J272" s="214" t="s">
        <v>81</v>
      </c>
      <c r="K272" s="185" t="s">
        <v>80</v>
      </c>
      <c r="L272" s="185" t="s">
        <v>79</v>
      </c>
      <c r="M272" s="205"/>
      <c r="N272" s="191"/>
      <c r="O272" s="191"/>
      <c r="P272" s="188" t="s">
        <v>83</v>
      </c>
      <c r="Q272" s="185" t="s">
        <v>82</v>
      </c>
      <c r="R272" s="214" t="s">
        <v>81</v>
      </c>
      <c r="S272" s="185" t="s">
        <v>80</v>
      </c>
      <c r="T272" s="185" t="s">
        <v>79</v>
      </c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1"/>
      <c r="AF272" s="1"/>
      <c r="AG272" s="1"/>
    </row>
    <row r="273" spans="1:33" s="5" customFormat="1" x14ac:dyDescent="0.2">
      <c r="A273" s="136" t="s">
        <v>267</v>
      </c>
      <c r="B273" s="9" t="s">
        <v>21</v>
      </c>
      <c r="C273" s="159" t="s">
        <v>20</v>
      </c>
      <c r="D273" s="160">
        <v>20000</v>
      </c>
      <c r="E273" s="160">
        <v>20000</v>
      </c>
      <c r="F273" s="160"/>
      <c r="G273" s="78"/>
      <c r="H273" s="178">
        <v>30000</v>
      </c>
      <c r="I273" s="178">
        <v>25000</v>
      </c>
      <c r="J273" s="178">
        <v>20000</v>
      </c>
      <c r="K273" s="178">
        <v>15000</v>
      </c>
      <c r="L273" s="178">
        <v>30000</v>
      </c>
      <c r="M273" s="178"/>
      <c r="N273" s="219"/>
      <c r="O273" s="219"/>
      <c r="P273" s="62">
        <v>150</v>
      </c>
      <c r="Q273" s="62">
        <v>125</v>
      </c>
      <c r="R273" s="62">
        <v>100</v>
      </c>
      <c r="S273" s="62">
        <v>75</v>
      </c>
      <c r="T273" s="62">
        <v>150</v>
      </c>
      <c r="U273" s="62"/>
      <c r="V273" s="82"/>
      <c r="W273" s="82"/>
      <c r="X273" s="82"/>
      <c r="Y273" s="82"/>
      <c r="Z273" s="82"/>
      <c r="AA273" s="82"/>
      <c r="AB273" s="82"/>
      <c r="AC273" s="82"/>
      <c r="AD273" s="82"/>
      <c r="AE273" s="1"/>
      <c r="AF273" s="1"/>
      <c r="AG273" s="1"/>
    </row>
    <row r="274" spans="1:33" s="5" customFormat="1" x14ac:dyDescent="0.2">
      <c r="A274" s="136" t="s">
        <v>267</v>
      </c>
      <c r="B274" s="9" t="s">
        <v>207</v>
      </c>
      <c r="C274" s="159" t="s">
        <v>206</v>
      </c>
      <c r="D274" s="160">
        <v>1250</v>
      </c>
      <c r="E274" s="160">
        <v>1250</v>
      </c>
      <c r="F274" s="160"/>
      <c r="G274" s="78"/>
      <c r="H274" s="222">
        <v>1250</v>
      </c>
      <c r="I274" s="222">
        <v>1250</v>
      </c>
      <c r="J274" s="222">
        <v>1250</v>
      </c>
      <c r="K274" s="222">
        <v>1250</v>
      </c>
      <c r="L274" s="222">
        <v>1250</v>
      </c>
      <c r="M274" s="161"/>
      <c r="N274" s="9"/>
      <c r="O274" s="9"/>
      <c r="P274" s="62">
        <v>100</v>
      </c>
      <c r="Q274" s="62">
        <v>100</v>
      </c>
      <c r="R274" s="62">
        <v>100</v>
      </c>
      <c r="S274" s="62">
        <v>100</v>
      </c>
      <c r="T274" s="62">
        <v>100</v>
      </c>
      <c r="U274" s="82"/>
      <c r="V274" s="82"/>
      <c r="W274" s="82"/>
      <c r="X274" s="82"/>
      <c r="Y274" s="82"/>
      <c r="Z274" s="82"/>
      <c r="AA274" s="82"/>
      <c r="AB274" s="82"/>
      <c r="AC274" s="82"/>
      <c r="AD274" s="82"/>
      <c r="AE274" s="1"/>
      <c r="AF274" s="1"/>
      <c r="AG274" s="1"/>
    </row>
    <row r="275" spans="1:33" s="5" customFormat="1" ht="6" customHeight="1" x14ac:dyDescent="0.2">
      <c r="A275" s="136" t="s">
        <v>267</v>
      </c>
      <c r="B275" s="9"/>
      <c r="C275" s="162"/>
      <c r="D275" s="161"/>
      <c r="E275" s="161"/>
      <c r="F275" s="161"/>
      <c r="G275" s="137"/>
      <c r="H275" s="161"/>
      <c r="I275" s="161"/>
      <c r="J275" s="161"/>
      <c r="K275" s="161"/>
      <c r="L275" s="161"/>
      <c r="M275" s="161"/>
      <c r="N275" s="1"/>
      <c r="O275" s="1"/>
      <c r="P275" s="62"/>
      <c r="Q275" s="62"/>
      <c r="R275" s="62"/>
      <c r="S275" s="62"/>
      <c r="T275" s="62"/>
      <c r="U275" s="84"/>
      <c r="V275" s="82"/>
      <c r="W275" s="82"/>
      <c r="X275" s="82"/>
      <c r="Y275" s="82"/>
      <c r="Z275" s="82"/>
      <c r="AA275" s="82"/>
      <c r="AB275" s="82"/>
      <c r="AC275" s="82"/>
      <c r="AD275" s="82"/>
      <c r="AE275" s="1"/>
      <c r="AF275" s="1"/>
      <c r="AG275" s="1"/>
    </row>
    <row r="276" spans="1:33" s="5" customFormat="1" ht="6" customHeight="1" x14ac:dyDescent="0.2">
      <c r="A276" s="136" t="s">
        <v>267</v>
      </c>
      <c r="B276" s="9"/>
      <c r="C276" s="159"/>
      <c r="D276" s="163"/>
      <c r="E276" s="163"/>
      <c r="F276" s="164"/>
      <c r="G276" s="8"/>
      <c r="H276" s="177"/>
      <c r="I276" s="177"/>
      <c r="J276" s="177"/>
      <c r="K276" s="177"/>
      <c r="L276" s="177"/>
      <c r="M276" s="177"/>
      <c r="N276" s="1"/>
      <c r="O276" s="1"/>
      <c r="P276" s="62"/>
      <c r="Q276" s="62"/>
      <c r="R276" s="62"/>
      <c r="S276" s="62"/>
      <c r="T276" s="62"/>
      <c r="U276" s="84"/>
      <c r="V276" s="26"/>
      <c r="W276" s="26"/>
      <c r="X276" s="26"/>
      <c r="Y276" s="26"/>
      <c r="Z276" s="26"/>
      <c r="AA276" s="26"/>
      <c r="AB276" s="26"/>
      <c r="AC276" s="26"/>
      <c r="AD276" s="26"/>
      <c r="AE276" s="1"/>
      <c r="AF276" s="1"/>
      <c r="AG276" s="1"/>
    </row>
    <row r="277" spans="1:33" s="5" customFormat="1" ht="11.25" customHeight="1" x14ac:dyDescent="0.2">
      <c r="A277" s="136" t="s">
        <v>267</v>
      </c>
      <c r="B277" s="151" t="s">
        <v>62</v>
      </c>
      <c r="C277" s="165"/>
      <c r="D277" s="166"/>
      <c r="E277" s="166"/>
      <c r="F277" s="167"/>
      <c r="G277" s="1"/>
      <c r="H277" s="166"/>
      <c r="I277" s="166"/>
      <c r="J277" s="166"/>
      <c r="K277" s="166"/>
      <c r="L277" s="166"/>
      <c r="M277" s="166"/>
      <c r="N277" s="1"/>
      <c r="O277" s="1"/>
      <c r="P277" s="154"/>
      <c r="Q277" s="154"/>
      <c r="R277" s="154"/>
      <c r="S277" s="154"/>
      <c r="T277" s="154"/>
      <c r="U277" s="76"/>
      <c r="V277" s="76"/>
      <c r="W277" s="76"/>
      <c r="X277" s="76"/>
      <c r="Y277" s="76"/>
      <c r="Z277" s="76"/>
      <c r="AA277" s="76"/>
      <c r="AB277" s="76"/>
      <c r="AC277" s="76"/>
      <c r="AD277" s="76"/>
      <c r="AE277" s="1"/>
      <c r="AF277" s="9"/>
      <c r="AG277" s="1"/>
    </row>
    <row r="278" spans="1:33" s="5" customFormat="1" ht="11.25" customHeight="1" x14ac:dyDescent="0.2">
      <c r="A278" s="136" t="s">
        <v>267</v>
      </c>
      <c r="B278" s="151" t="s">
        <v>61</v>
      </c>
      <c r="C278" s="168" t="s">
        <v>35</v>
      </c>
      <c r="D278" s="169">
        <v>9357.8442304386517</v>
      </c>
      <c r="E278" s="169">
        <v>9915.9984833345916</v>
      </c>
      <c r="F278" s="170">
        <v>105.96456020373162</v>
      </c>
      <c r="G278" s="8"/>
      <c r="H278" s="169">
        <v>13051.331482215648</v>
      </c>
      <c r="I278" s="169">
        <v>11505.185257673833</v>
      </c>
      <c r="J278" s="169">
        <v>9915.9984833345916</v>
      </c>
      <c r="K278" s="169">
        <v>8328.1039319979845</v>
      </c>
      <c r="L278" s="169">
        <v>7942.7269190141833</v>
      </c>
      <c r="M278" s="169"/>
      <c r="N278" s="1"/>
      <c r="O278" s="9"/>
      <c r="P278" s="155">
        <v>131.61893382850431</v>
      </c>
      <c r="Q278" s="155">
        <v>116.02649271286319</v>
      </c>
      <c r="R278" s="155">
        <v>100</v>
      </c>
      <c r="S278" s="155">
        <v>83.98653898540509</v>
      </c>
      <c r="T278" s="155">
        <v>80.100122366529163</v>
      </c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9"/>
      <c r="AF278" s="1"/>
      <c r="AG278" s="1"/>
    </row>
    <row r="279" spans="1:33" s="5" customFormat="1" ht="11.25" customHeight="1" x14ac:dyDescent="0.2">
      <c r="A279" s="136" t="s">
        <v>267</v>
      </c>
      <c r="B279" s="152" t="s">
        <v>60</v>
      </c>
      <c r="C279" s="165" t="s">
        <v>35</v>
      </c>
      <c r="D279" s="171">
        <v>0</v>
      </c>
      <c r="E279" s="171">
        <v>0</v>
      </c>
      <c r="F279" s="172"/>
      <c r="G279" s="8"/>
      <c r="H279" s="171">
        <v>0</v>
      </c>
      <c r="I279" s="171">
        <v>0</v>
      </c>
      <c r="J279" s="171">
        <v>0</v>
      </c>
      <c r="K279" s="171">
        <v>0</v>
      </c>
      <c r="L279" s="171">
        <v>0</v>
      </c>
      <c r="M279" s="171"/>
      <c r="N279" s="1"/>
      <c r="O279" s="1"/>
      <c r="P279" s="156"/>
      <c r="Q279" s="156"/>
      <c r="R279" s="156"/>
      <c r="S279" s="156"/>
      <c r="T279" s="156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1"/>
      <c r="AF279" s="1"/>
      <c r="AG279" s="1"/>
    </row>
    <row r="280" spans="1:33" s="5" customFormat="1" ht="11.25" customHeight="1" x14ac:dyDescent="0.2">
      <c r="A280" s="136" t="s">
        <v>267</v>
      </c>
      <c r="B280" s="152" t="s">
        <v>59</v>
      </c>
      <c r="C280" s="165" t="s">
        <v>35</v>
      </c>
      <c r="D280" s="171">
        <v>248.90343167206521</v>
      </c>
      <c r="E280" s="171">
        <v>279.07810112595615</v>
      </c>
      <c r="F280" s="172">
        <v>112.12304276047371</v>
      </c>
      <c r="G280" s="8"/>
      <c r="H280" s="171">
        <v>414.77540434218531</v>
      </c>
      <c r="I280" s="171">
        <v>346.9267527340707</v>
      </c>
      <c r="J280" s="171">
        <v>279.07810112595615</v>
      </c>
      <c r="K280" s="171">
        <v>211.22944951784157</v>
      </c>
      <c r="L280" s="171">
        <v>414.77540434218531</v>
      </c>
      <c r="M280" s="171"/>
      <c r="N280" s="1"/>
      <c r="O280" s="1"/>
      <c r="P280" s="156">
        <v>148.62341497550358</v>
      </c>
      <c r="Q280" s="156">
        <v>124.31170748775178</v>
      </c>
      <c r="R280" s="156">
        <v>100</v>
      </c>
      <c r="S280" s="156">
        <v>75.688292512248211</v>
      </c>
      <c r="T280" s="156">
        <v>148.62341497550358</v>
      </c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1"/>
      <c r="AF280" s="1"/>
      <c r="AG280" s="1"/>
    </row>
    <row r="281" spans="1:33" s="5" customFormat="1" ht="11.25" customHeight="1" x14ac:dyDescent="0.2">
      <c r="A281" s="136" t="s">
        <v>267</v>
      </c>
      <c r="B281" s="152" t="s">
        <v>58</v>
      </c>
      <c r="C281" s="165" t="s">
        <v>35</v>
      </c>
      <c r="D281" s="171">
        <v>1103.784772</v>
      </c>
      <c r="E281" s="171">
        <v>1319.8955550000001</v>
      </c>
      <c r="F281" s="172">
        <v>119.57906907960134</v>
      </c>
      <c r="G281" s="8"/>
      <c r="H281" s="171">
        <v>1368.4577549999999</v>
      </c>
      <c r="I281" s="171">
        <v>1319.8955550000001</v>
      </c>
      <c r="J281" s="171">
        <v>1319.8955550000001</v>
      </c>
      <c r="K281" s="171">
        <v>1231.660965</v>
      </c>
      <c r="L281" s="171">
        <v>1002.9305550000001</v>
      </c>
      <c r="M281" s="171"/>
      <c r="N281" s="1"/>
      <c r="O281" s="1"/>
      <c r="P281" s="156">
        <v>103.67924566576782</v>
      </c>
      <c r="Q281" s="156">
        <v>100</v>
      </c>
      <c r="R281" s="156">
        <v>100</v>
      </c>
      <c r="S281" s="156">
        <v>93.315032415576255</v>
      </c>
      <c r="T281" s="156">
        <v>75.985599860588977</v>
      </c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1"/>
      <c r="AF281" s="1"/>
      <c r="AG281" s="1"/>
    </row>
    <row r="282" spans="1:33" s="5" customFormat="1" ht="11.25" customHeight="1" x14ac:dyDescent="0.2">
      <c r="A282" s="136" t="s">
        <v>267</v>
      </c>
      <c r="B282" s="152" t="s">
        <v>57</v>
      </c>
      <c r="C282" s="165" t="s">
        <v>35</v>
      </c>
      <c r="D282" s="171">
        <v>3029.2590468120648</v>
      </c>
      <c r="E282" s="171">
        <v>3355.9380783966994</v>
      </c>
      <c r="F282" s="172">
        <v>110.78412332971079</v>
      </c>
      <c r="G282" s="8"/>
      <c r="H282" s="171">
        <v>4760.3900677866186</v>
      </c>
      <c r="I282" s="171">
        <v>4058.1640730916592</v>
      </c>
      <c r="J282" s="171">
        <v>3355.9380783966994</v>
      </c>
      <c r="K282" s="171">
        <v>2653.7120837017387</v>
      </c>
      <c r="L282" s="171">
        <v>2725.5306513409964</v>
      </c>
      <c r="M282" s="171"/>
      <c r="N282" s="1"/>
      <c r="O282" s="1"/>
      <c r="P282" s="156">
        <v>141.84975874348959</v>
      </c>
      <c r="Q282" s="156">
        <v>120.92487937174481</v>
      </c>
      <c r="R282" s="156">
        <v>100</v>
      </c>
      <c r="S282" s="156">
        <v>79.075120628255164</v>
      </c>
      <c r="T282" s="156">
        <v>81.21516510945635</v>
      </c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1"/>
      <c r="AF282" s="1"/>
      <c r="AG282" s="1"/>
    </row>
    <row r="283" spans="1:33" s="5" customFormat="1" ht="11.25" customHeight="1" x14ac:dyDescent="0.2">
      <c r="A283" s="136" t="s">
        <v>267</v>
      </c>
      <c r="B283" s="152" t="s">
        <v>56</v>
      </c>
      <c r="C283" s="165" t="s">
        <v>35</v>
      </c>
      <c r="D283" s="171">
        <v>926.73305166600005</v>
      </c>
      <c r="E283" s="171">
        <v>927.94169072926809</v>
      </c>
      <c r="F283" s="172">
        <v>100.13041933284836</v>
      </c>
      <c r="G283" s="8"/>
      <c r="H283" s="171">
        <v>1385.1416907292682</v>
      </c>
      <c r="I283" s="171">
        <v>1156.5416907292679</v>
      </c>
      <c r="J283" s="171">
        <v>927.94169072926809</v>
      </c>
      <c r="K283" s="171">
        <v>699.34169072926807</v>
      </c>
      <c r="L283" s="171">
        <v>1385.1416907292682</v>
      </c>
      <c r="M283" s="171"/>
      <c r="N283" s="1"/>
      <c r="O283" s="1"/>
      <c r="P283" s="156">
        <v>149.2703371955071</v>
      </c>
      <c r="Q283" s="156">
        <v>124.63516859775352</v>
      </c>
      <c r="R283" s="156">
        <v>100</v>
      </c>
      <c r="S283" s="156">
        <v>75.364831402246452</v>
      </c>
      <c r="T283" s="156">
        <v>149.2703371955071</v>
      </c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1"/>
      <c r="AF283" s="1"/>
      <c r="AG283" s="1"/>
    </row>
    <row r="284" spans="1:33" s="5" customFormat="1" ht="11.25" customHeight="1" x14ac:dyDescent="0.2">
      <c r="A284" s="136" t="s">
        <v>267</v>
      </c>
      <c r="B284" s="152" t="s">
        <v>55</v>
      </c>
      <c r="C284" s="165" t="s">
        <v>35</v>
      </c>
      <c r="D284" s="171">
        <v>2330.2421224258642</v>
      </c>
      <c r="E284" s="171">
        <v>2147.3850754378818</v>
      </c>
      <c r="F284" s="172">
        <v>92.152873504937688</v>
      </c>
      <c r="G284" s="8"/>
      <c r="H284" s="171">
        <v>2446.6937908526006</v>
      </c>
      <c r="I284" s="171">
        <v>2341.9680765705484</v>
      </c>
      <c r="J284" s="171">
        <v>2147.3850754378818</v>
      </c>
      <c r="K284" s="171">
        <v>2041.0230361893402</v>
      </c>
      <c r="L284" s="171">
        <v>1736.6053873879434</v>
      </c>
      <c r="M284" s="171"/>
      <c r="N284" s="1"/>
      <c r="O284" s="1"/>
      <c r="P284" s="156">
        <v>113.93828795954006</v>
      </c>
      <c r="Q284" s="156">
        <v>109.06139301042634</v>
      </c>
      <c r="R284" s="156">
        <v>100</v>
      </c>
      <c r="S284" s="156">
        <v>95.046904234125179</v>
      </c>
      <c r="T284" s="156">
        <v>80.870702104224378</v>
      </c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1"/>
      <c r="AF284" s="1"/>
      <c r="AG284" s="1"/>
    </row>
    <row r="285" spans="1:33" s="5" customFormat="1" ht="11.25" customHeight="1" x14ac:dyDescent="0.2">
      <c r="A285" s="136" t="s">
        <v>267</v>
      </c>
      <c r="B285" s="152" t="s">
        <v>26</v>
      </c>
      <c r="C285" s="165" t="s">
        <v>35</v>
      </c>
      <c r="D285" s="171">
        <v>3942.311632945165</v>
      </c>
      <c r="E285" s="171">
        <v>4175.0258930858927</v>
      </c>
      <c r="F285" s="172">
        <v>105.90298996649523</v>
      </c>
      <c r="G285" s="8"/>
      <c r="H285" s="171">
        <v>4175.0258930858927</v>
      </c>
      <c r="I285" s="171">
        <v>4175.0258930858927</v>
      </c>
      <c r="J285" s="171">
        <v>4175.0258930858927</v>
      </c>
      <c r="K285" s="171">
        <v>4175.0258930858927</v>
      </c>
      <c r="L285" s="171">
        <v>4175.0258930858927</v>
      </c>
      <c r="M285" s="171"/>
      <c r="N285" s="1"/>
      <c r="O285" s="1"/>
      <c r="P285" s="156">
        <v>100</v>
      </c>
      <c r="Q285" s="156">
        <v>100</v>
      </c>
      <c r="R285" s="156">
        <v>100</v>
      </c>
      <c r="S285" s="156">
        <v>100</v>
      </c>
      <c r="T285" s="156">
        <v>100</v>
      </c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1"/>
      <c r="AF285" s="1"/>
      <c r="AG285" s="1"/>
    </row>
    <row r="286" spans="1:33" s="5" customFormat="1" ht="11.25" customHeight="1" x14ac:dyDescent="0.2">
      <c r="A286" s="136" t="s">
        <v>267</v>
      </c>
      <c r="B286" s="151" t="s">
        <v>54</v>
      </c>
      <c r="C286" s="168" t="s">
        <v>35</v>
      </c>
      <c r="D286" s="169">
        <v>5906.0394714059794</v>
      </c>
      <c r="E286" s="169">
        <v>6650.7601683687735</v>
      </c>
      <c r="F286" s="170">
        <v>112.60947713892449</v>
      </c>
      <c r="G286" s="8"/>
      <c r="H286" s="169">
        <v>7808.3753432461135</v>
      </c>
      <c r="I286" s="169">
        <v>7265.3136119056917</v>
      </c>
      <c r="J286" s="169">
        <v>6650.7601683687735</v>
      </c>
      <c r="K286" s="169">
        <v>6105.9183227528092</v>
      </c>
      <c r="L286" s="169">
        <v>4815.909035205259</v>
      </c>
      <c r="M286" s="169"/>
      <c r="N286" s="1"/>
      <c r="O286" s="9"/>
      <c r="P286" s="155">
        <v>117.405757320539</v>
      </c>
      <c r="Q286" s="155">
        <v>109.24034889214249</v>
      </c>
      <c r="R286" s="155">
        <v>100</v>
      </c>
      <c r="S286" s="155">
        <v>91.807825995481693</v>
      </c>
      <c r="T286" s="155">
        <v>72.411407317164674</v>
      </c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1"/>
      <c r="AF286" s="1"/>
      <c r="AG286" s="1"/>
    </row>
    <row r="287" spans="1:33" s="5" customFormat="1" ht="11.25" customHeight="1" x14ac:dyDescent="0.2">
      <c r="A287" s="136" t="s">
        <v>267</v>
      </c>
      <c r="B287" s="152" t="s">
        <v>53</v>
      </c>
      <c r="C287" s="165" t="s">
        <v>35</v>
      </c>
      <c r="D287" s="171">
        <v>2850.8770422063194</v>
      </c>
      <c r="E287" s="171">
        <v>3124.3246308569396</v>
      </c>
      <c r="F287" s="172">
        <v>109.59170053995022</v>
      </c>
      <c r="G287" s="8"/>
      <c r="H287" s="171">
        <v>3723.7629284014029</v>
      </c>
      <c r="I287" s="171">
        <v>3441.3258469468087</v>
      </c>
      <c r="J287" s="171">
        <v>3124.3246308569396</v>
      </c>
      <c r="K287" s="171">
        <v>2841.2231264138395</v>
      </c>
      <c r="L287" s="171">
        <v>2163.3349944778206</v>
      </c>
      <c r="M287" s="171"/>
      <c r="N287" s="1"/>
      <c r="O287" s="1"/>
      <c r="P287" s="156">
        <v>119.18617200095656</v>
      </c>
      <c r="Q287" s="156">
        <v>110.1462316994544</v>
      </c>
      <c r="R287" s="156">
        <v>100</v>
      </c>
      <c r="S287" s="156">
        <v>90.938793566869165</v>
      </c>
      <c r="T287" s="156">
        <v>69.241684206306729</v>
      </c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1"/>
      <c r="AF287" s="1"/>
      <c r="AG287" s="1"/>
    </row>
    <row r="288" spans="1:33" s="5" customFormat="1" ht="11.25" customHeight="1" x14ac:dyDescent="0.2">
      <c r="A288" s="136" t="s">
        <v>267</v>
      </c>
      <c r="B288" s="151" t="s">
        <v>52</v>
      </c>
      <c r="C288" s="168" t="s">
        <v>35</v>
      </c>
      <c r="D288" s="169">
        <v>19206.195334789798</v>
      </c>
      <c r="E288" s="169">
        <v>20741.784544789258</v>
      </c>
      <c r="F288" s="170">
        <v>107.99528060207697</v>
      </c>
      <c r="G288" s="8"/>
      <c r="H288" s="169">
        <v>25034.732718547653</v>
      </c>
      <c r="I288" s="169">
        <v>22945.524762665416</v>
      </c>
      <c r="J288" s="169">
        <v>20741.784544789258</v>
      </c>
      <c r="K288" s="169">
        <v>18609.048147836686</v>
      </c>
      <c r="L288" s="169">
        <v>16933.661847305335</v>
      </c>
      <c r="M288" s="169"/>
      <c r="N288" s="1"/>
      <c r="O288" s="9"/>
      <c r="P288" s="155">
        <v>120.69710137277877</v>
      </c>
      <c r="Q288" s="155">
        <v>110.62464135194085</v>
      </c>
      <c r="R288" s="155">
        <v>100</v>
      </c>
      <c r="S288" s="155">
        <v>89.717681271121108</v>
      </c>
      <c r="T288" s="155">
        <v>81.640332396372344</v>
      </c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1"/>
      <c r="AF288" s="1"/>
      <c r="AG288" s="1"/>
    </row>
    <row r="289" spans="1:33" s="5" customFormat="1" ht="11.25" customHeight="1" x14ac:dyDescent="0.25">
      <c r="A289" s="136" t="s">
        <v>267</v>
      </c>
      <c r="B289" s="152" t="s">
        <v>5</v>
      </c>
      <c r="C289" s="165" t="s">
        <v>35</v>
      </c>
      <c r="D289" s="171">
        <v>0</v>
      </c>
      <c r="E289" s="171">
        <v>0</v>
      </c>
      <c r="F289" s="172"/>
      <c r="G289" s="8"/>
      <c r="H289" s="171">
        <v>0</v>
      </c>
      <c r="I289" s="171">
        <v>0</v>
      </c>
      <c r="J289" s="171">
        <v>0</v>
      </c>
      <c r="K289" s="171">
        <v>0</v>
      </c>
      <c r="L289" s="171">
        <v>0</v>
      </c>
      <c r="M289" s="171"/>
      <c r="N289" s="1"/>
      <c r="O289" s="1"/>
      <c r="P289" s="156"/>
      <c r="Q289" s="156"/>
      <c r="R289" s="156"/>
      <c r="S289" s="156"/>
      <c r="T289" s="156"/>
      <c r="U289" s="4"/>
      <c r="V289" s="4"/>
      <c r="W289" s="4"/>
      <c r="X289" s="339" t="s">
        <v>224</v>
      </c>
      <c r="Y289" s="340"/>
      <c r="Z289" s="340"/>
      <c r="AA289" s="340"/>
      <c r="AB289" s="340"/>
      <c r="AC289" s="340"/>
      <c r="AD289" s="340"/>
      <c r="AE289" s="340"/>
      <c r="AF289" s="340"/>
      <c r="AG289" s="1"/>
    </row>
    <row r="290" spans="1:33" s="5" customFormat="1" ht="11.25" customHeight="1" x14ac:dyDescent="0.25">
      <c r="A290" s="136" t="s">
        <v>267</v>
      </c>
      <c r="B290" s="152" t="s">
        <v>51</v>
      </c>
      <c r="C290" s="165" t="s">
        <v>35</v>
      </c>
      <c r="D290" s="171">
        <v>19206.195334789798</v>
      </c>
      <c r="E290" s="171">
        <v>20741.784544789258</v>
      </c>
      <c r="F290" s="172">
        <v>107.99528060207697</v>
      </c>
      <c r="G290" s="8"/>
      <c r="H290" s="171">
        <v>25034.732718547653</v>
      </c>
      <c r="I290" s="171">
        <v>22945.524762665416</v>
      </c>
      <c r="J290" s="171">
        <v>20741.784544789258</v>
      </c>
      <c r="K290" s="171">
        <v>18609.048147836686</v>
      </c>
      <c r="L290" s="171">
        <v>16933.661847305335</v>
      </c>
      <c r="M290" s="171"/>
      <c r="N290" s="1"/>
      <c r="O290" s="1"/>
      <c r="P290" s="156">
        <v>120.69710137277877</v>
      </c>
      <c r="Q290" s="156">
        <v>110.62464135194085</v>
      </c>
      <c r="R290" s="156">
        <v>100</v>
      </c>
      <c r="S290" s="156">
        <v>89.717681271121108</v>
      </c>
      <c r="T290" s="156">
        <v>81.640332396372344</v>
      </c>
      <c r="U290" s="4"/>
      <c r="V290" s="4"/>
      <c r="W290" s="4"/>
      <c r="X290" s="192" t="s">
        <v>260</v>
      </c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s="5" customFormat="1" ht="11.25" customHeight="1" x14ac:dyDescent="0.2">
      <c r="A291" s="136" t="s">
        <v>267</v>
      </c>
      <c r="B291" s="152" t="s">
        <v>50</v>
      </c>
      <c r="C291" s="165" t="s">
        <v>35</v>
      </c>
      <c r="D291" s="171">
        <v>351.8899328</v>
      </c>
      <c r="E291" s="171">
        <v>202.77999999999994</v>
      </c>
      <c r="F291" s="172">
        <v>57.625973663546638</v>
      </c>
      <c r="G291" s="8"/>
      <c r="H291" s="171">
        <v>202.77999999999994</v>
      </c>
      <c r="I291" s="171">
        <v>202.77999999999994</v>
      </c>
      <c r="J291" s="171">
        <v>202.77999999999994</v>
      </c>
      <c r="K291" s="171">
        <v>202.77999999999994</v>
      </c>
      <c r="L291" s="171">
        <v>202.77999999999994</v>
      </c>
      <c r="M291" s="171"/>
      <c r="N291" s="1"/>
      <c r="O291" s="1"/>
      <c r="P291" s="156">
        <v>100</v>
      </c>
      <c r="Q291" s="156">
        <v>100</v>
      </c>
      <c r="R291" s="156">
        <v>100</v>
      </c>
      <c r="S291" s="156">
        <v>100</v>
      </c>
      <c r="T291" s="156">
        <v>100</v>
      </c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1"/>
      <c r="AF291" s="1"/>
      <c r="AG291" s="1"/>
    </row>
    <row r="292" spans="1:33" s="5" customFormat="1" ht="11.25" customHeight="1" x14ac:dyDescent="0.2">
      <c r="A292" s="136" t="s">
        <v>267</v>
      </c>
      <c r="B292" s="151" t="s">
        <v>49</v>
      </c>
      <c r="C292" s="168" t="s">
        <v>35</v>
      </c>
      <c r="D292" s="169">
        <v>18854.305401989797</v>
      </c>
      <c r="E292" s="169">
        <v>20539.004544789259</v>
      </c>
      <c r="F292" s="170">
        <v>108.93535511852728</v>
      </c>
      <c r="G292" s="8"/>
      <c r="H292" s="169">
        <v>24831.952718547655</v>
      </c>
      <c r="I292" s="169">
        <v>22742.744762665418</v>
      </c>
      <c r="J292" s="169">
        <v>20539.004544789259</v>
      </c>
      <c r="K292" s="169">
        <v>18406.268147836687</v>
      </c>
      <c r="L292" s="169">
        <v>16730.881847305336</v>
      </c>
      <c r="M292" s="169"/>
      <c r="N292" s="9"/>
      <c r="O292" s="9"/>
      <c r="P292" s="155">
        <v>120.90144225050827</v>
      </c>
      <c r="Q292" s="155">
        <v>110.72953761254824</v>
      </c>
      <c r="R292" s="155">
        <v>100</v>
      </c>
      <c r="S292" s="155">
        <v>89.616164735239579</v>
      </c>
      <c r="T292" s="155">
        <v>81.459068821083434</v>
      </c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1"/>
      <c r="AF292" s="1"/>
      <c r="AG292" s="1"/>
    </row>
    <row r="293" spans="1:33" s="5" customFormat="1" ht="11.25" customHeight="1" x14ac:dyDescent="0.2">
      <c r="A293" s="136" t="s">
        <v>267</v>
      </c>
      <c r="B293" s="153" t="s">
        <v>48</v>
      </c>
      <c r="C293" s="173" t="s">
        <v>46</v>
      </c>
      <c r="D293" s="174">
        <v>0.94271527009948985</v>
      </c>
      <c r="E293" s="174">
        <v>1.0269502272394631</v>
      </c>
      <c r="F293" s="170">
        <v>108.9353551185273</v>
      </c>
      <c r="G293" s="8"/>
      <c r="H293" s="174">
        <v>0.82773175728492177</v>
      </c>
      <c r="I293" s="174">
        <v>0.90970979050661671</v>
      </c>
      <c r="J293" s="174">
        <v>1.0269502272394631</v>
      </c>
      <c r="K293" s="174">
        <v>1.2270845431891124</v>
      </c>
      <c r="L293" s="174">
        <v>0.55769606157684459</v>
      </c>
      <c r="M293" s="174"/>
      <c r="N293" s="1"/>
      <c r="O293" s="16"/>
      <c r="P293" s="157">
        <v>80.600961500338826</v>
      </c>
      <c r="Q293" s="157">
        <v>88.583630090038596</v>
      </c>
      <c r="R293" s="157">
        <v>100</v>
      </c>
      <c r="S293" s="157">
        <v>119.48821964698608</v>
      </c>
      <c r="T293" s="157">
        <v>54.306045880722287</v>
      </c>
      <c r="U293" s="73"/>
      <c r="V293" s="4"/>
      <c r="W293" s="4"/>
      <c r="X293" s="4"/>
      <c r="Y293" s="4"/>
      <c r="Z293" s="4"/>
      <c r="AA293" s="4"/>
      <c r="AB293" s="4"/>
      <c r="AC293" s="4"/>
      <c r="AD293" s="4"/>
      <c r="AE293" s="1"/>
      <c r="AF293" s="1"/>
      <c r="AG293" s="1"/>
    </row>
    <row r="294" spans="1:33" s="5" customFormat="1" ht="11.25" customHeight="1" x14ac:dyDescent="0.2">
      <c r="A294" s="136" t="s">
        <v>267</v>
      </c>
      <c r="B294" s="16" t="s">
        <v>47</v>
      </c>
      <c r="C294" s="175" t="s">
        <v>46</v>
      </c>
      <c r="D294" s="176">
        <v>1.2990000000000002</v>
      </c>
      <c r="E294" s="176">
        <v>1.671</v>
      </c>
      <c r="F294" s="164">
        <v>128.63741339491918</v>
      </c>
      <c r="G294" s="8"/>
      <c r="H294" s="176">
        <v>1.671</v>
      </c>
      <c r="I294" s="176">
        <v>1.671</v>
      </c>
      <c r="J294" s="176">
        <v>1.671</v>
      </c>
      <c r="K294" s="176">
        <v>1.671</v>
      </c>
      <c r="L294" s="176">
        <v>1.671</v>
      </c>
      <c r="M294" s="176"/>
      <c r="N294" s="1"/>
      <c r="O294" s="16"/>
      <c r="P294" s="73">
        <v>100</v>
      </c>
      <c r="Q294" s="73">
        <v>100</v>
      </c>
      <c r="R294" s="73">
        <v>100</v>
      </c>
      <c r="S294" s="73">
        <v>100</v>
      </c>
      <c r="T294" s="73">
        <v>100</v>
      </c>
      <c r="U294" s="73"/>
      <c r="V294" s="4"/>
      <c r="W294" s="4"/>
      <c r="X294" s="4"/>
      <c r="Y294" s="4"/>
      <c r="Z294" s="4"/>
      <c r="AA294" s="4"/>
      <c r="AB294" s="4"/>
      <c r="AC294" s="4"/>
      <c r="AD294" s="4"/>
      <c r="AE294" s="1"/>
      <c r="AF294" s="1"/>
      <c r="AG294" s="1"/>
    </row>
    <row r="295" spans="1:33" s="85" customFormat="1" ht="11.25" customHeight="1" x14ac:dyDescent="0.2">
      <c r="A295" s="136" t="s">
        <v>267</v>
      </c>
      <c r="B295" s="9" t="s">
        <v>45</v>
      </c>
      <c r="C295" s="159" t="s">
        <v>35</v>
      </c>
      <c r="D295" s="163">
        <v>26331.889932800004</v>
      </c>
      <c r="E295" s="163">
        <v>33622.78</v>
      </c>
      <c r="F295" s="164">
        <v>127.68844198349083</v>
      </c>
      <c r="G295" s="8"/>
      <c r="H295" s="163">
        <v>50332.78</v>
      </c>
      <c r="I295" s="163">
        <v>41977.78</v>
      </c>
      <c r="J295" s="163">
        <v>33622.78</v>
      </c>
      <c r="K295" s="163">
        <v>25267.78</v>
      </c>
      <c r="L295" s="163">
        <v>50332.78</v>
      </c>
      <c r="M295" s="163"/>
      <c r="N295" s="1"/>
      <c r="O295" s="9"/>
      <c r="P295" s="8">
        <v>149.69844849236142</v>
      </c>
      <c r="Q295" s="8">
        <v>124.84922424618073</v>
      </c>
      <c r="R295" s="8">
        <v>100</v>
      </c>
      <c r="S295" s="8">
        <v>75.150775753819289</v>
      </c>
      <c r="T295" s="8">
        <v>149.69844849236142</v>
      </c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1"/>
      <c r="AF295" s="1"/>
      <c r="AG295" s="1"/>
    </row>
    <row r="296" spans="1:33" s="5" customFormat="1" ht="11.25" customHeight="1" x14ac:dyDescent="0.2">
      <c r="A296" s="136" t="s">
        <v>267</v>
      </c>
      <c r="B296" s="1" t="s">
        <v>44</v>
      </c>
      <c r="C296" s="162" t="s">
        <v>35</v>
      </c>
      <c r="D296" s="177">
        <v>0</v>
      </c>
      <c r="E296" s="177">
        <v>0</v>
      </c>
      <c r="F296" s="164"/>
      <c r="G296" s="8"/>
      <c r="H296" s="177">
        <v>0</v>
      </c>
      <c r="I296" s="177">
        <v>0</v>
      </c>
      <c r="J296" s="177">
        <v>0</v>
      </c>
      <c r="K296" s="177">
        <v>0</v>
      </c>
      <c r="L296" s="177">
        <v>0</v>
      </c>
      <c r="M296" s="177"/>
      <c r="N296" s="1"/>
      <c r="O296" s="1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1"/>
      <c r="AF296" s="1"/>
      <c r="AG296" s="1"/>
    </row>
    <row r="297" spans="1:33" s="5" customFormat="1" ht="11.25" customHeight="1" x14ac:dyDescent="0.2">
      <c r="A297" s="136" t="s">
        <v>267</v>
      </c>
      <c r="B297" s="151" t="s">
        <v>43</v>
      </c>
      <c r="C297" s="165"/>
      <c r="D297" s="171"/>
      <c r="E297" s="171"/>
      <c r="F297" s="170"/>
      <c r="G297" s="8"/>
      <c r="H297" s="171"/>
      <c r="I297" s="171"/>
      <c r="J297" s="171"/>
      <c r="K297" s="171"/>
      <c r="L297" s="171"/>
      <c r="M297" s="171"/>
      <c r="N297" s="1"/>
      <c r="O297" s="1"/>
      <c r="P297" s="156"/>
      <c r="Q297" s="156"/>
      <c r="R297" s="156"/>
      <c r="S297" s="156"/>
      <c r="T297" s="156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1"/>
      <c r="AF297" s="1"/>
      <c r="AG297" s="1"/>
    </row>
    <row r="298" spans="1:33" s="5" customFormat="1" ht="11.25" customHeight="1" x14ac:dyDescent="0.2">
      <c r="A298" s="136" t="s">
        <v>267</v>
      </c>
      <c r="B298" s="152" t="s">
        <v>42</v>
      </c>
      <c r="C298" s="165" t="s">
        <v>35</v>
      </c>
      <c r="D298" s="171">
        <v>26331.889932800004</v>
      </c>
      <c r="E298" s="171">
        <v>33622.78</v>
      </c>
      <c r="F298" s="172">
        <v>127.68844198349083</v>
      </c>
      <c r="G298" s="8"/>
      <c r="H298" s="171">
        <v>50332.78</v>
      </c>
      <c r="I298" s="171">
        <v>41977.78</v>
      </c>
      <c r="J298" s="171">
        <v>33622.78</v>
      </c>
      <c r="K298" s="171">
        <v>25267.78</v>
      </c>
      <c r="L298" s="171">
        <v>50332.78</v>
      </c>
      <c r="M298" s="171"/>
      <c r="N298" s="1"/>
      <c r="O298" s="1"/>
      <c r="P298" s="156">
        <v>149.69844849236142</v>
      </c>
      <c r="Q298" s="156">
        <v>124.84922424618073</v>
      </c>
      <c r="R298" s="156">
        <v>100</v>
      </c>
      <c r="S298" s="156">
        <v>75.150775753819289</v>
      </c>
      <c r="T298" s="156">
        <v>149.69844849236142</v>
      </c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1"/>
      <c r="AF298" s="1"/>
      <c r="AG298" s="1"/>
    </row>
    <row r="299" spans="1:33" s="5" customFormat="1" ht="11.25" customHeight="1" x14ac:dyDescent="0.2">
      <c r="A299" s="136" t="s">
        <v>267</v>
      </c>
      <c r="B299" s="152" t="s">
        <v>41</v>
      </c>
      <c r="C299" s="165" t="s">
        <v>35</v>
      </c>
      <c r="D299" s="171">
        <v>19206.195334789802</v>
      </c>
      <c r="E299" s="171">
        <v>20741.784544789254</v>
      </c>
      <c r="F299" s="172">
        <v>107.99528060207693</v>
      </c>
      <c r="G299" s="8"/>
      <c r="H299" s="171">
        <v>25034.732718547653</v>
      </c>
      <c r="I299" s="171">
        <v>22945.524762665413</v>
      </c>
      <c r="J299" s="171">
        <v>20741.784544789254</v>
      </c>
      <c r="K299" s="171">
        <v>18609.048147836686</v>
      </c>
      <c r="L299" s="171">
        <v>16933.661847305331</v>
      </c>
      <c r="M299" s="171"/>
      <c r="N299" s="1"/>
      <c r="O299" s="1"/>
      <c r="P299" s="156">
        <v>120.6971013727788</v>
      </c>
      <c r="Q299" s="156">
        <v>110.62464135194085</v>
      </c>
      <c r="R299" s="156">
        <v>100</v>
      </c>
      <c r="S299" s="156">
        <v>89.717681271121137</v>
      </c>
      <c r="T299" s="156">
        <v>81.640332396372344</v>
      </c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1"/>
      <c r="AF299" s="1"/>
      <c r="AG299" s="1"/>
    </row>
    <row r="300" spans="1:33" s="5" customFormat="1" ht="11.25" customHeight="1" x14ac:dyDescent="0.2">
      <c r="A300" s="136" t="s">
        <v>267</v>
      </c>
      <c r="B300" s="152" t="s">
        <v>40</v>
      </c>
      <c r="C300" s="165" t="s">
        <v>35</v>
      </c>
      <c r="D300" s="171">
        <v>8154.0960366865193</v>
      </c>
      <c r="E300" s="171">
        <v>8563.836993537032</v>
      </c>
      <c r="F300" s="172">
        <v>105.0249709472028</v>
      </c>
      <c r="G300" s="8"/>
      <c r="H300" s="171">
        <v>11415.587606511681</v>
      </c>
      <c r="I300" s="171">
        <v>9988.375132054085</v>
      </c>
      <c r="J300" s="171">
        <v>8563.836993537032</v>
      </c>
      <c r="K300" s="171">
        <v>7095.6530584349484</v>
      </c>
      <c r="L300" s="171">
        <v>6707.056736120293</v>
      </c>
      <c r="M300" s="171"/>
      <c r="N300" s="1"/>
      <c r="O300" s="1"/>
      <c r="P300" s="156">
        <v>133.29991702465628</v>
      </c>
      <c r="Q300" s="156">
        <v>116.6343443901621</v>
      </c>
      <c r="R300" s="156">
        <v>100</v>
      </c>
      <c r="S300" s="156">
        <v>82.856003258701733</v>
      </c>
      <c r="T300" s="156">
        <v>78.318360580449905</v>
      </c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1"/>
      <c r="AF300" s="1"/>
      <c r="AG300" s="1"/>
    </row>
    <row r="301" spans="1:33" s="5" customFormat="1" ht="11.25" customHeight="1" x14ac:dyDescent="0.2">
      <c r="A301" s="136" t="s">
        <v>267</v>
      </c>
      <c r="B301" s="152" t="s">
        <v>39</v>
      </c>
      <c r="C301" s="165" t="s">
        <v>35</v>
      </c>
      <c r="D301" s="171">
        <v>4797.5265633846175</v>
      </c>
      <c r="E301" s="171">
        <v>5132.2134545509271</v>
      </c>
      <c r="F301" s="172">
        <v>106.97623841670176</v>
      </c>
      <c r="G301" s="8"/>
      <c r="H301" s="171">
        <v>5351.7943730498937</v>
      </c>
      <c r="I301" s="171">
        <v>5258.6675728269402</v>
      </c>
      <c r="J301" s="171">
        <v>5132.2134545509271</v>
      </c>
      <c r="K301" s="171">
        <v>5038.5461326327195</v>
      </c>
      <c r="L301" s="171">
        <v>5109.9431424698068</v>
      </c>
      <c r="M301" s="171"/>
      <c r="N301" s="1"/>
      <c r="O301" s="1"/>
      <c r="P301" s="156">
        <v>104.27848374670106</v>
      </c>
      <c r="Q301" s="156">
        <v>102.46392944089028</v>
      </c>
      <c r="R301" s="156">
        <v>100</v>
      </c>
      <c r="S301" s="156">
        <v>98.174913753145844</v>
      </c>
      <c r="T301" s="156">
        <v>99.566068085859285</v>
      </c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1"/>
      <c r="AF301" s="1"/>
      <c r="AG301" s="1"/>
    </row>
    <row r="302" spans="1:33" s="5" customFormat="1" ht="11.25" customHeight="1" x14ac:dyDescent="0.2">
      <c r="A302" s="136" t="s">
        <v>267</v>
      </c>
      <c r="B302" s="151" t="s">
        <v>38</v>
      </c>
      <c r="C302" s="168" t="s">
        <v>35</v>
      </c>
      <c r="D302" s="169">
        <v>6254.5727347186657</v>
      </c>
      <c r="E302" s="169">
        <v>7045.7340967012951</v>
      </c>
      <c r="F302" s="170">
        <v>112.64932706899309</v>
      </c>
      <c r="G302" s="8"/>
      <c r="H302" s="169">
        <v>8267.3507389860788</v>
      </c>
      <c r="I302" s="169">
        <v>7698.4820577843875</v>
      </c>
      <c r="J302" s="169">
        <v>7045.7340967012951</v>
      </c>
      <c r="K302" s="169">
        <v>6474.8489567690167</v>
      </c>
      <c r="L302" s="169">
        <v>5116.6619687152324</v>
      </c>
      <c r="M302" s="169"/>
      <c r="N302" s="1"/>
      <c r="O302" s="9"/>
      <c r="P302" s="155">
        <v>117.33838696604695</v>
      </c>
      <c r="Q302" s="155">
        <v>109.26444217343796</v>
      </c>
      <c r="R302" s="155">
        <v>100</v>
      </c>
      <c r="S302" s="155">
        <v>91.897435638401987</v>
      </c>
      <c r="T302" s="155">
        <v>72.620707771398514</v>
      </c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1"/>
      <c r="AF302" s="1"/>
      <c r="AG302" s="1"/>
    </row>
    <row r="303" spans="1:33" s="5" customFormat="1" ht="11.25" customHeight="1" x14ac:dyDescent="0.2">
      <c r="A303" s="136" t="s">
        <v>267</v>
      </c>
      <c r="B303" s="152" t="s">
        <v>37</v>
      </c>
      <c r="C303" s="165" t="s">
        <v>35</v>
      </c>
      <c r="D303" s="171">
        <v>18177.793896113486</v>
      </c>
      <c r="E303" s="171">
        <v>25058.943006462967</v>
      </c>
      <c r="F303" s="172">
        <v>137.85469870367882</v>
      </c>
      <c r="G303" s="8"/>
      <c r="H303" s="171">
        <v>38917.192393488316</v>
      </c>
      <c r="I303" s="171">
        <v>31989.404867945916</v>
      </c>
      <c r="J303" s="171">
        <v>25058.943006462967</v>
      </c>
      <c r="K303" s="171">
        <v>18172.126941565049</v>
      </c>
      <c r="L303" s="171">
        <v>43625.723263879707</v>
      </c>
      <c r="M303" s="171"/>
      <c r="N303" s="1"/>
      <c r="O303" s="1"/>
      <c r="P303" s="156">
        <v>155.30260946541583</v>
      </c>
      <c r="Q303" s="156">
        <v>127.65664082357947</v>
      </c>
      <c r="R303" s="156">
        <v>100</v>
      </c>
      <c r="S303" s="156">
        <v>72.517531712643517</v>
      </c>
      <c r="T303" s="156">
        <v>174.092431802204</v>
      </c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1"/>
      <c r="AF303" s="1"/>
      <c r="AG303" s="1"/>
    </row>
    <row r="304" spans="1:33" s="5" customFormat="1" ht="11.25" customHeight="1" x14ac:dyDescent="0.2">
      <c r="A304" s="136" t="s">
        <v>267</v>
      </c>
      <c r="B304" s="151" t="s">
        <v>36</v>
      </c>
      <c r="C304" s="168" t="s">
        <v>35</v>
      </c>
      <c r="D304" s="169">
        <v>13380.267332728868</v>
      </c>
      <c r="E304" s="169">
        <v>19926.729551912038</v>
      </c>
      <c r="F304" s="170">
        <v>148.92624382152786</v>
      </c>
      <c r="G304" s="8"/>
      <c r="H304" s="169">
        <v>33565.398020438421</v>
      </c>
      <c r="I304" s="169">
        <v>26730.737295118975</v>
      </c>
      <c r="J304" s="169">
        <v>19926.729551912038</v>
      </c>
      <c r="K304" s="169">
        <v>13133.580808932329</v>
      </c>
      <c r="L304" s="169">
        <v>38515.780121409902</v>
      </c>
      <c r="M304" s="169"/>
      <c r="N304" s="1"/>
      <c r="O304" s="9"/>
      <c r="P304" s="155">
        <v>168.44408879538241</v>
      </c>
      <c r="Q304" s="155">
        <v>134.14513016539672</v>
      </c>
      <c r="R304" s="155">
        <v>100</v>
      </c>
      <c r="S304" s="155">
        <v>65.909364478086758</v>
      </c>
      <c r="T304" s="155">
        <v>193.28701190564502</v>
      </c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1"/>
      <c r="AF304" s="1"/>
      <c r="AG304" s="1"/>
    </row>
    <row r="305" spans="1:33" s="5" customFormat="1" ht="11.25" customHeight="1" x14ac:dyDescent="0.25">
      <c r="A305" s="136" t="s">
        <v>267</v>
      </c>
      <c r="B305" s="152" t="s">
        <v>34</v>
      </c>
      <c r="C305" s="167" t="s">
        <v>33</v>
      </c>
      <c r="D305" s="171">
        <v>33.295077551245903</v>
      </c>
      <c r="E305" s="171">
        <v>49.592985523966455</v>
      </c>
      <c r="F305" s="172">
        <v>148.94990242216957</v>
      </c>
      <c r="G305" s="8"/>
      <c r="H305" s="171">
        <v>70.201049023959641</v>
      </c>
      <c r="I305" s="171">
        <v>60.415063112438332</v>
      </c>
      <c r="J305" s="171">
        <v>49.592985523966455</v>
      </c>
      <c r="K305" s="171">
        <v>35.881240103760511</v>
      </c>
      <c r="L305" s="171">
        <v>137.5634876403044</v>
      </c>
      <c r="M305" s="171"/>
      <c r="N305" s="1"/>
      <c r="O305" s="1"/>
      <c r="P305" s="156">
        <v>141.5543917799304</v>
      </c>
      <c r="Q305" s="156">
        <v>121.82179087250549</v>
      </c>
      <c r="R305" s="156">
        <v>100</v>
      </c>
      <c r="S305" s="156">
        <v>72.351441891757929</v>
      </c>
      <c r="T305" s="156">
        <v>277.38496923889579</v>
      </c>
      <c r="U305" s="4"/>
      <c r="V305" s="4"/>
      <c r="W305" s="4"/>
      <c r="X305" s="339" t="s">
        <v>227</v>
      </c>
      <c r="Y305" s="340"/>
      <c r="Z305" s="340"/>
      <c r="AA305" s="340"/>
      <c r="AB305" s="340"/>
      <c r="AC305" s="340"/>
      <c r="AD305" s="340"/>
      <c r="AE305" s="340"/>
      <c r="AF305" s="340"/>
      <c r="AG305" s="1"/>
    </row>
    <row r="306" spans="1:33" s="5" customFormat="1" ht="11.25" customHeight="1" x14ac:dyDescent="0.25">
      <c r="A306" s="136" t="s">
        <v>267</v>
      </c>
      <c r="B306" s="1"/>
      <c r="C306" s="19"/>
      <c r="D306" s="35">
        <v>0</v>
      </c>
      <c r="E306" s="35">
        <v>0</v>
      </c>
      <c r="F306" s="36"/>
      <c r="G306" s="36"/>
      <c r="H306" s="35">
        <v>0</v>
      </c>
      <c r="I306" s="35">
        <v>0</v>
      </c>
      <c r="J306" s="35">
        <v>0</v>
      </c>
      <c r="K306" s="35">
        <v>0</v>
      </c>
      <c r="L306" s="35">
        <v>0</v>
      </c>
      <c r="M306" s="35"/>
      <c r="N306" s="35"/>
      <c r="O306" s="1"/>
      <c r="P306" s="4"/>
      <c r="Q306" s="4"/>
      <c r="R306" s="4"/>
      <c r="S306" s="4"/>
      <c r="T306" s="4"/>
      <c r="U306" s="4"/>
      <c r="V306" s="4"/>
      <c r="W306" s="4"/>
      <c r="X306" s="192" t="s">
        <v>261</v>
      </c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s="5" customFormat="1" x14ac:dyDescent="0.2">
      <c r="A307" s="136" t="s">
        <v>268</v>
      </c>
      <c r="B307" s="141" t="s">
        <v>148</v>
      </c>
      <c r="C307" s="140"/>
      <c r="D307" s="140"/>
      <c r="E307" s="140"/>
      <c r="F307" s="140"/>
      <c r="G307" s="140"/>
      <c r="H307" s="140"/>
      <c r="I307" s="140"/>
      <c r="J307" s="140"/>
      <c r="K307" s="140"/>
      <c r="L307" s="140"/>
      <c r="M307" s="140"/>
      <c r="N307" s="140"/>
      <c r="O307" s="140"/>
      <c r="P307" s="140"/>
      <c r="Q307" s="140"/>
      <c r="R307" s="140"/>
      <c r="S307" s="140"/>
      <c r="T307" s="140"/>
      <c r="U307" s="140"/>
      <c r="V307" s="140"/>
      <c r="W307" s="140"/>
      <c r="X307" s="140"/>
      <c r="Y307" s="140"/>
      <c r="Z307" s="140"/>
      <c r="AA307" s="140"/>
      <c r="AB307" s="140"/>
      <c r="AC307" s="140"/>
      <c r="AD307" s="140"/>
      <c r="AE307" s="140"/>
      <c r="AF307" s="140"/>
      <c r="AG307" s="1"/>
    </row>
    <row r="308" spans="1:33" s="5" customFormat="1" x14ac:dyDescent="0.2">
      <c r="A308" s="136" t="s">
        <v>268</v>
      </c>
      <c r="B308" s="141" t="s">
        <v>149</v>
      </c>
      <c r="C308" s="140"/>
      <c r="D308" s="143" t="s">
        <v>123</v>
      </c>
      <c r="E308" s="143" t="s">
        <v>123</v>
      </c>
      <c r="F308" s="140"/>
      <c r="G308" s="140"/>
      <c r="H308" s="143" t="s">
        <v>132</v>
      </c>
      <c r="I308" s="143" t="s">
        <v>133</v>
      </c>
      <c r="J308" s="143" t="s">
        <v>131</v>
      </c>
      <c r="K308" s="143" t="s">
        <v>215</v>
      </c>
      <c r="L308" s="143" t="s">
        <v>214</v>
      </c>
      <c r="M308" s="143" t="s">
        <v>216</v>
      </c>
      <c r="N308" s="140"/>
      <c r="O308" s="140"/>
      <c r="P308" s="140"/>
      <c r="Q308" s="140"/>
      <c r="R308" s="140"/>
      <c r="S308" s="140"/>
      <c r="T308" s="140"/>
      <c r="U308" s="140"/>
      <c r="V308" s="140"/>
      <c r="W308" s="140"/>
      <c r="X308" s="140"/>
      <c r="Y308" s="140"/>
      <c r="Z308" s="140"/>
      <c r="AA308" s="140"/>
      <c r="AB308" s="140"/>
      <c r="AC308" s="140"/>
      <c r="AD308" s="140"/>
      <c r="AE308" s="140"/>
      <c r="AF308" s="140"/>
      <c r="AG308" s="1"/>
    </row>
    <row r="309" spans="1:33" s="5" customFormat="1" ht="12" customHeight="1" x14ac:dyDescent="0.25">
      <c r="A309" s="136" t="s">
        <v>268</v>
      </c>
      <c r="B309" s="149" t="s">
        <v>268</v>
      </c>
      <c r="C309" s="158"/>
      <c r="D309" s="185">
        <v>2022</v>
      </c>
      <c r="E309" s="185">
        <v>2023</v>
      </c>
      <c r="F309" s="341" t="s">
        <v>256</v>
      </c>
      <c r="G309" s="186"/>
      <c r="H309" s="179"/>
      <c r="I309" s="179"/>
      <c r="J309" s="179" t="s">
        <v>258</v>
      </c>
      <c r="K309" s="179"/>
      <c r="L309" s="179"/>
      <c r="M309" s="179"/>
      <c r="N309" s="142"/>
      <c r="O309" s="142"/>
      <c r="P309" s="179"/>
      <c r="Q309" s="179"/>
      <c r="R309" s="179" t="s">
        <v>160</v>
      </c>
      <c r="S309" s="179"/>
      <c r="T309" s="179"/>
      <c r="U309" s="179"/>
      <c r="V309" s="66"/>
      <c r="W309" s="66"/>
      <c r="X309" s="66"/>
      <c r="Y309" s="66"/>
      <c r="Z309" s="66"/>
      <c r="AA309" s="66"/>
      <c r="AB309" s="66"/>
      <c r="AC309" s="66"/>
      <c r="AD309" s="66"/>
      <c r="AE309" s="1"/>
      <c r="AF309" s="1"/>
      <c r="AG309" s="1"/>
    </row>
    <row r="310" spans="1:33" s="5" customFormat="1" ht="12" x14ac:dyDescent="0.25">
      <c r="A310" s="136" t="s">
        <v>268</v>
      </c>
      <c r="B310" s="150" t="s">
        <v>84</v>
      </c>
      <c r="C310" s="158"/>
      <c r="D310" s="185"/>
      <c r="E310" s="330" t="s">
        <v>259</v>
      </c>
      <c r="F310" s="342"/>
      <c r="G310" s="186"/>
      <c r="H310" s="187" t="s">
        <v>87</v>
      </c>
      <c r="I310" s="185" t="s">
        <v>86</v>
      </c>
      <c r="J310" s="214" t="s">
        <v>85</v>
      </c>
      <c r="K310" s="185" t="s">
        <v>77</v>
      </c>
      <c r="L310" s="185" t="s">
        <v>97</v>
      </c>
      <c r="M310" s="205" t="s">
        <v>158</v>
      </c>
      <c r="N310" s="191"/>
      <c r="O310" s="191"/>
      <c r="P310" s="188" t="s">
        <v>87</v>
      </c>
      <c r="Q310" s="185" t="s">
        <v>86</v>
      </c>
      <c r="R310" s="214" t="s">
        <v>85</v>
      </c>
      <c r="S310" s="185" t="s">
        <v>77</v>
      </c>
      <c r="T310" s="185" t="s">
        <v>97</v>
      </c>
      <c r="U310" s="188" t="s">
        <v>158</v>
      </c>
      <c r="V310" s="66"/>
      <c r="W310" s="66"/>
      <c r="X310" s="66"/>
      <c r="Y310" s="66"/>
      <c r="Z310" s="66"/>
      <c r="AA310" s="66"/>
      <c r="AB310" s="66"/>
      <c r="AC310" s="66"/>
      <c r="AD310" s="66"/>
      <c r="AE310" s="1"/>
      <c r="AF310" s="1"/>
      <c r="AG310" s="1"/>
    </row>
    <row r="311" spans="1:33" s="5" customFormat="1" x14ac:dyDescent="0.2">
      <c r="A311" s="136" t="s">
        <v>268</v>
      </c>
      <c r="B311" s="9" t="s">
        <v>21</v>
      </c>
      <c r="C311" s="159" t="s">
        <v>20</v>
      </c>
      <c r="D311" s="160">
        <v>8000</v>
      </c>
      <c r="E311" s="160">
        <v>8000</v>
      </c>
      <c r="F311" s="160"/>
      <c r="G311" s="78"/>
      <c r="H311" s="178">
        <v>12000</v>
      </c>
      <c r="I311" s="178">
        <v>10000</v>
      </c>
      <c r="J311" s="178">
        <v>8000</v>
      </c>
      <c r="K311" s="178">
        <v>7000</v>
      </c>
      <c r="L311" s="178">
        <v>10125</v>
      </c>
      <c r="M311" s="178">
        <v>9000</v>
      </c>
      <c r="N311" s="2"/>
      <c r="O311" s="2"/>
      <c r="P311" s="62">
        <v>150</v>
      </c>
      <c r="Q311" s="62">
        <v>125</v>
      </c>
      <c r="R311" s="62">
        <v>100</v>
      </c>
      <c r="S311" s="62">
        <v>87.5</v>
      </c>
      <c r="T311" s="62">
        <v>126.5625</v>
      </c>
      <c r="U311" s="62">
        <v>112.5</v>
      </c>
      <c r="V311" s="82"/>
      <c r="W311" s="82"/>
      <c r="X311" s="82"/>
      <c r="Y311" s="82"/>
      <c r="Z311" s="82"/>
      <c r="AA311" s="82"/>
      <c r="AB311" s="82"/>
      <c r="AC311" s="82"/>
      <c r="AD311" s="82"/>
      <c r="AE311" s="1"/>
      <c r="AF311" s="1"/>
      <c r="AG311" s="1"/>
    </row>
    <row r="312" spans="1:33" s="5" customFormat="1" x14ac:dyDescent="0.2">
      <c r="A312" s="136" t="s">
        <v>268</v>
      </c>
      <c r="B312" s="9" t="s">
        <v>203</v>
      </c>
      <c r="C312" s="159" t="s">
        <v>75</v>
      </c>
      <c r="D312" s="161">
        <v>2</v>
      </c>
      <c r="E312" s="161">
        <v>2</v>
      </c>
      <c r="F312" s="160"/>
      <c r="G312" s="78"/>
      <c r="H312" s="216">
        <v>3</v>
      </c>
      <c r="I312" s="216">
        <v>2.5</v>
      </c>
      <c r="J312" s="216">
        <v>2</v>
      </c>
      <c r="K312" s="216">
        <v>1.75</v>
      </c>
      <c r="L312" s="216">
        <v>2.25</v>
      </c>
      <c r="M312" s="216">
        <v>2</v>
      </c>
      <c r="N312" s="1"/>
      <c r="O312" s="1"/>
      <c r="P312" s="62">
        <v>150</v>
      </c>
      <c r="Q312" s="62">
        <v>125</v>
      </c>
      <c r="R312" s="62">
        <v>100</v>
      </c>
      <c r="S312" s="62">
        <v>87.5</v>
      </c>
      <c r="T312" s="62">
        <v>112.5</v>
      </c>
      <c r="U312" s="62">
        <v>100</v>
      </c>
      <c r="V312" s="82"/>
      <c r="W312" s="82"/>
      <c r="X312" s="82"/>
      <c r="Y312" s="82"/>
      <c r="Z312" s="82"/>
      <c r="AA312" s="82"/>
      <c r="AB312" s="82"/>
      <c r="AC312" s="82"/>
      <c r="AD312" s="82"/>
      <c r="AE312" s="1"/>
      <c r="AF312" s="1"/>
      <c r="AG312" s="1"/>
    </row>
    <row r="313" spans="1:33" s="5" customFormat="1" x14ac:dyDescent="0.2">
      <c r="A313" s="136" t="s">
        <v>268</v>
      </c>
      <c r="B313" s="9" t="s">
        <v>74</v>
      </c>
      <c r="C313" s="162" t="s">
        <v>73</v>
      </c>
      <c r="D313" s="160">
        <v>4000</v>
      </c>
      <c r="E313" s="160">
        <v>4000</v>
      </c>
      <c r="F313" s="161"/>
      <c r="G313" s="137"/>
      <c r="H313" s="178">
        <v>4000</v>
      </c>
      <c r="I313" s="178">
        <v>4000</v>
      </c>
      <c r="J313" s="178">
        <v>4000</v>
      </c>
      <c r="K313" s="178">
        <v>4000</v>
      </c>
      <c r="L313" s="178">
        <v>4500</v>
      </c>
      <c r="M313" s="178">
        <v>4500</v>
      </c>
      <c r="N313" s="1"/>
      <c r="O313" s="1"/>
      <c r="P313" s="62">
        <v>100</v>
      </c>
      <c r="Q313" s="62">
        <v>100</v>
      </c>
      <c r="R313" s="62">
        <v>100</v>
      </c>
      <c r="S313" s="62">
        <v>100</v>
      </c>
      <c r="T313" s="62">
        <v>112.5</v>
      </c>
      <c r="U313" s="62">
        <v>112.5</v>
      </c>
      <c r="V313" s="82"/>
      <c r="W313" s="82"/>
      <c r="X313" s="82"/>
      <c r="Y313" s="82"/>
      <c r="Z313" s="82"/>
      <c r="AA313" s="82"/>
      <c r="AB313" s="82"/>
      <c r="AC313" s="82"/>
      <c r="AD313" s="82"/>
      <c r="AE313" s="1"/>
      <c r="AF313" s="1"/>
      <c r="AG313" s="1"/>
    </row>
    <row r="314" spans="1:33" s="5" customFormat="1" ht="6" customHeight="1" x14ac:dyDescent="0.2">
      <c r="A314" s="136" t="s">
        <v>268</v>
      </c>
      <c r="B314" s="9"/>
      <c r="C314" s="159"/>
      <c r="D314" s="163"/>
      <c r="E314" s="163"/>
      <c r="F314" s="164"/>
      <c r="G314" s="8"/>
      <c r="H314" s="177"/>
      <c r="I314" s="177"/>
      <c r="J314" s="177"/>
      <c r="K314" s="177"/>
      <c r="L314" s="177"/>
      <c r="M314" s="177"/>
      <c r="N314" s="1"/>
      <c r="O314" s="1"/>
      <c r="P314" s="62"/>
      <c r="Q314" s="62"/>
      <c r="R314" s="62"/>
      <c r="S314" s="62"/>
      <c r="T314" s="62"/>
      <c r="U314" s="62"/>
      <c r="V314" s="26"/>
      <c r="W314" s="26"/>
      <c r="X314" s="26"/>
      <c r="Y314" s="26"/>
      <c r="Z314" s="26"/>
      <c r="AA314" s="26"/>
      <c r="AB314" s="26"/>
      <c r="AC314" s="26"/>
      <c r="AD314" s="26"/>
      <c r="AE314" s="1"/>
      <c r="AF314" s="1"/>
      <c r="AG314" s="1"/>
    </row>
    <row r="315" spans="1:33" s="5" customFormat="1" ht="11.25" customHeight="1" x14ac:dyDescent="0.2">
      <c r="A315" s="136" t="s">
        <v>268</v>
      </c>
      <c r="B315" s="151" t="s">
        <v>62</v>
      </c>
      <c r="C315" s="165"/>
      <c r="D315" s="166"/>
      <c r="E315" s="166"/>
      <c r="F315" s="167"/>
      <c r="G315" s="1"/>
      <c r="H315" s="166"/>
      <c r="I315" s="166"/>
      <c r="J315" s="166"/>
      <c r="K315" s="166"/>
      <c r="L315" s="166"/>
      <c r="M315" s="166"/>
      <c r="N315" s="1"/>
      <c r="O315" s="1"/>
      <c r="P315" s="154"/>
      <c r="Q315" s="154"/>
      <c r="R315" s="154"/>
      <c r="S315" s="154"/>
      <c r="T315" s="154"/>
      <c r="U315" s="154"/>
      <c r="V315" s="76"/>
      <c r="W315" s="76"/>
      <c r="X315" s="76"/>
      <c r="Y315" s="76"/>
      <c r="Z315" s="76"/>
      <c r="AA315" s="76"/>
      <c r="AB315" s="76"/>
      <c r="AC315" s="76"/>
      <c r="AD315" s="76"/>
      <c r="AE315" s="1"/>
      <c r="AF315" s="9"/>
      <c r="AG315" s="1"/>
    </row>
    <row r="316" spans="1:33" s="5" customFormat="1" ht="11.25" customHeight="1" x14ac:dyDescent="0.2">
      <c r="A316" s="136" t="s">
        <v>268</v>
      </c>
      <c r="B316" s="151" t="s">
        <v>61</v>
      </c>
      <c r="C316" s="168" t="s">
        <v>35</v>
      </c>
      <c r="D316" s="169">
        <v>4789.6544021892132</v>
      </c>
      <c r="E316" s="169">
        <v>5054.2508000342295</v>
      </c>
      <c r="F316" s="170">
        <v>105.52433172890463</v>
      </c>
      <c r="G316" s="8"/>
      <c r="H316" s="169">
        <v>5650.2762957062469</v>
      </c>
      <c r="I316" s="169">
        <v>5400.6432062201302</v>
      </c>
      <c r="J316" s="169">
        <v>5054.2508000342295</v>
      </c>
      <c r="K316" s="169">
        <v>4854.9897380373422</v>
      </c>
      <c r="L316" s="169">
        <v>5660.0441636005344</v>
      </c>
      <c r="M316" s="169">
        <v>5495.7290199869749</v>
      </c>
      <c r="N316" s="1"/>
      <c r="O316" s="9"/>
      <c r="P316" s="155">
        <v>111.79255876396124</v>
      </c>
      <c r="Q316" s="155">
        <v>106.85348669645667</v>
      </c>
      <c r="R316" s="155">
        <v>100</v>
      </c>
      <c r="S316" s="155">
        <v>96.057554919998481</v>
      </c>
      <c r="T316" s="155">
        <v>111.98581921502991</v>
      </c>
      <c r="U316" s="155">
        <v>108.73479052424062</v>
      </c>
      <c r="V316" s="8"/>
      <c r="W316" s="8"/>
      <c r="X316" s="8"/>
      <c r="Y316" s="8"/>
      <c r="Z316" s="8"/>
      <c r="AA316" s="8"/>
      <c r="AB316" s="8"/>
      <c r="AC316" s="8"/>
      <c r="AD316" s="8"/>
      <c r="AE316" s="9"/>
      <c r="AF316" s="1"/>
      <c r="AG316" s="1"/>
    </row>
    <row r="317" spans="1:33" s="5" customFormat="1" ht="11.25" customHeight="1" x14ac:dyDescent="0.2">
      <c r="A317" s="136" t="s">
        <v>268</v>
      </c>
      <c r="B317" s="152" t="s">
        <v>60</v>
      </c>
      <c r="C317" s="165" t="s">
        <v>35</v>
      </c>
      <c r="D317" s="171">
        <v>0</v>
      </c>
      <c r="E317" s="171">
        <v>0</v>
      </c>
      <c r="F317" s="172"/>
      <c r="G317" s="8"/>
      <c r="H317" s="171">
        <v>0</v>
      </c>
      <c r="I317" s="171">
        <v>0</v>
      </c>
      <c r="J317" s="171">
        <v>0</v>
      </c>
      <c r="K317" s="171">
        <v>0</v>
      </c>
      <c r="L317" s="171">
        <v>0</v>
      </c>
      <c r="M317" s="171">
        <v>0</v>
      </c>
      <c r="N317" s="1"/>
      <c r="O317" s="1"/>
      <c r="P317" s="156"/>
      <c r="Q317" s="156"/>
      <c r="R317" s="156"/>
      <c r="S317" s="156"/>
      <c r="T317" s="156"/>
      <c r="U317" s="156"/>
      <c r="V317" s="4"/>
      <c r="W317" s="4"/>
      <c r="X317" s="4"/>
      <c r="Y317" s="4"/>
      <c r="Z317" s="4"/>
      <c r="AA317" s="4"/>
      <c r="AB317" s="4"/>
      <c r="AC317" s="4"/>
      <c r="AD317" s="4"/>
      <c r="AE317" s="1"/>
      <c r="AF317" s="1"/>
      <c r="AG317" s="1"/>
    </row>
    <row r="318" spans="1:33" s="5" customFormat="1" ht="11.25" customHeight="1" x14ac:dyDescent="0.2">
      <c r="A318" s="136" t="s">
        <v>268</v>
      </c>
      <c r="B318" s="152" t="s">
        <v>59</v>
      </c>
      <c r="C318" s="165" t="s">
        <v>35</v>
      </c>
      <c r="D318" s="171">
        <v>268.56805364305762</v>
      </c>
      <c r="E318" s="171">
        <v>307.03727726753942</v>
      </c>
      <c r="F318" s="172">
        <v>114.32382709062247</v>
      </c>
      <c r="G318" s="8"/>
      <c r="H318" s="171">
        <v>394.52841643618603</v>
      </c>
      <c r="I318" s="171">
        <v>374.87622258054859</v>
      </c>
      <c r="J318" s="171">
        <v>307.03727726753942</v>
      </c>
      <c r="K318" s="171">
        <v>269.25176043552983</v>
      </c>
      <c r="L318" s="171">
        <v>377.39791480683164</v>
      </c>
      <c r="M318" s="171">
        <v>344.8227940995489</v>
      </c>
      <c r="N318" s="1"/>
      <c r="O318" s="1"/>
      <c r="P318" s="156">
        <v>128.49528237980383</v>
      </c>
      <c r="Q318" s="156">
        <v>122.09469349022956</v>
      </c>
      <c r="R318" s="156">
        <v>100</v>
      </c>
      <c r="S318" s="156">
        <v>87.693508368664681</v>
      </c>
      <c r="T318" s="156">
        <v>122.91599188393756</v>
      </c>
      <c r="U318" s="156">
        <v>112.30649163133531</v>
      </c>
      <c r="V318" s="4"/>
      <c r="W318" s="4"/>
      <c r="X318" s="4"/>
      <c r="Y318" s="4"/>
      <c r="Z318" s="4"/>
      <c r="AA318" s="4"/>
      <c r="AB318" s="4"/>
      <c r="AC318" s="4"/>
      <c r="AD318" s="4"/>
      <c r="AE318" s="1"/>
      <c r="AF318" s="1"/>
      <c r="AG318" s="1"/>
    </row>
    <row r="319" spans="1:33" s="5" customFormat="1" ht="11.25" customHeight="1" x14ac:dyDescent="0.2">
      <c r="A319" s="136" t="s">
        <v>268</v>
      </c>
      <c r="B319" s="152" t="s">
        <v>58</v>
      </c>
      <c r="C319" s="165" t="s">
        <v>35</v>
      </c>
      <c r="D319" s="171">
        <v>1088.3789844</v>
      </c>
      <c r="E319" s="171">
        <v>1219.7843094</v>
      </c>
      <c r="F319" s="172">
        <v>112.07348973872743</v>
      </c>
      <c r="G319" s="8"/>
      <c r="H319" s="171">
        <v>1219.7843094</v>
      </c>
      <c r="I319" s="171">
        <v>1219.7843094</v>
      </c>
      <c r="J319" s="171">
        <v>1219.7843094</v>
      </c>
      <c r="K319" s="171">
        <v>1219.7843094</v>
      </c>
      <c r="L319" s="171">
        <v>1219.7843094</v>
      </c>
      <c r="M319" s="171">
        <v>1219.7843094</v>
      </c>
      <c r="N319" s="1"/>
      <c r="O319" s="1"/>
      <c r="P319" s="156">
        <v>100</v>
      </c>
      <c r="Q319" s="156">
        <v>100</v>
      </c>
      <c r="R319" s="156">
        <v>100</v>
      </c>
      <c r="S319" s="156">
        <v>100</v>
      </c>
      <c r="T319" s="156">
        <v>100</v>
      </c>
      <c r="U319" s="156">
        <v>100</v>
      </c>
      <c r="V319" s="4"/>
      <c r="W319" s="4"/>
      <c r="X319" s="4"/>
      <c r="Y319" s="4"/>
      <c r="Z319" s="4"/>
      <c r="AA319" s="4"/>
      <c r="AB319" s="4"/>
      <c r="AC319" s="4"/>
      <c r="AD319" s="4"/>
      <c r="AE319" s="1"/>
      <c r="AF319" s="1"/>
      <c r="AG319" s="1"/>
    </row>
    <row r="320" spans="1:33" s="5" customFormat="1" ht="11.25" customHeight="1" x14ac:dyDescent="0.2">
      <c r="A320" s="136" t="s">
        <v>268</v>
      </c>
      <c r="B320" s="152" t="s">
        <v>57</v>
      </c>
      <c r="C320" s="165" t="s">
        <v>35</v>
      </c>
      <c r="D320" s="171">
        <v>1101.8761411769815</v>
      </c>
      <c r="E320" s="171">
        <v>1234.0996372464767</v>
      </c>
      <c r="F320" s="172">
        <v>111.99985108383046</v>
      </c>
      <c r="G320" s="8"/>
      <c r="H320" s="171">
        <v>1573.5000178570713</v>
      </c>
      <c r="I320" s="171">
        <v>1403.7998275517741</v>
      </c>
      <c r="J320" s="171">
        <v>1234.0996372464767</v>
      </c>
      <c r="K320" s="171">
        <v>1149.249542093828</v>
      </c>
      <c r="L320" s="171">
        <v>1483.8184489490163</v>
      </c>
      <c r="M320" s="171">
        <v>1388.3620919022865</v>
      </c>
      <c r="N320" s="1"/>
      <c r="O320" s="1"/>
      <c r="P320" s="156">
        <v>127.50186211608204</v>
      </c>
      <c r="Q320" s="156">
        <v>113.75093105804102</v>
      </c>
      <c r="R320" s="156">
        <v>100</v>
      </c>
      <c r="S320" s="156">
        <v>93.124534470979498</v>
      </c>
      <c r="T320" s="156">
        <v>120.2348987201481</v>
      </c>
      <c r="U320" s="156">
        <v>112.50000000000003</v>
      </c>
      <c r="V320" s="4"/>
      <c r="W320" s="4"/>
      <c r="X320" s="4"/>
      <c r="Y320" s="4"/>
      <c r="Z320" s="4"/>
      <c r="AA320" s="4"/>
      <c r="AB320" s="4"/>
      <c r="AC320" s="4"/>
      <c r="AD320" s="4"/>
      <c r="AE320" s="1"/>
      <c r="AF320" s="1"/>
      <c r="AG320" s="1"/>
    </row>
    <row r="321" spans="1:33" s="5" customFormat="1" ht="11.25" customHeight="1" x14ac:dyDescent="0.2">
      <c r="A321" s="136" t="s">
        <v>268</v>
      </c>
      <c r="B321" s="152" t="s">
        <v>56</v>
      </c>
      <c r="C321" s="165" t="s">
        <v>35</v>
      </c>
      <c r="D321" s="171">
        <v>365.49124579234973</v>
      </c>
      <c r="E321" s="171">
        <v>365.49124579234973</v>
      </c>
      <c r="F321" s="172">
        <v>100</v>
      </c>
      <c r="G321" s="8"/>
      <c r="H321" s="171">
        <v>410.87068579234966</v>
      </c>
      <c r="I321" s="171">
        <v>410.87068579234978</v>
      </c>
      <c r="J321" s="171">
        <v>365.49124579234973</v>
      </c>
      <c r="K321" s="171">
        <v>319.87042579234969</v>
      </c>
      <c r="L321" s="171">
        <v>410.87068579234966</v>
      </c>
      <c r="M321" s="171">
        <v>410.87068579234966</v>
      </c>
      <c r="N321" s="1"/>
      <c r="O321" s="1"/>
      <c r="P321" s="156">
        <v>112.4160128381794</v>
      </c>
      <c r="Q321" s="156">
        <v>112.41601283817941</v>
      </c>
      <c r="R321" s="156">
        <v>100</v>
      </c>
      <c r="S321" s="156">
        <v>87.517944540340906</v>
      </c>
      <c r="T321" s="156">
        <v>112.4160128381794</v>
      </c>
      <c r="U321" s="156">
        <v>112.4160128381794</v>
      </c>
      <c r="V321" s="4"/>
      <c r="W321" s="4"/>
      <c r="X321" s="4"/>
      <c r="Y321" s="4"/>
      <c r="Z321" s="4"/>
      <c r="AA321" s="4"/>
      <c r="AB321" s="4"/>
      <c r="AC321" s="4"/>
      <c r="AD321" s="4"/>
      <c r="AE321" s="1"/>
      <c r="AF321" s="1"/>
      <c r="AG321" s="1"/>
    </row>
    <row r="322" spans="1:33" s="5" customFormat="1" ht="11.25" customHeight="1" x14ac:dyDescent="0.2">
      <c r="A322" s="136" t="s">
        <v>268</v>
      </c>
      <c r="B322" s="152" t="s">
        <v>55</v>
      </c>
      <c r="C322" s="165" t="s">
        <v>35</v>
      </c>
      <c r="D322" s="171">
        <v>1571.1143232601917</v>
      </c>
      <c r="E322" s="171">
        <v>1496.8162411667877</v>
      </c>
      <c r="F322" s="172">
        <v>95.270994542317624</v>
      </c>
      <c r="G322" s="8"/>
      <c r="H322" s="171">
        <v>1590.4673895351116</v>
      </c>
      <c r="I322" s="171">
        <v>1544.7276580992491</v>
      </c>
      <c r="J322" s="171">
        <v>1496.8162411667877</v>
      </c>
      <c r="K322" s="171">
        <v>1473.6495028273405</v>
      </c>
      <c r="L322" s="171">
        <v>1706.2257697795214</v>
      </c>
      <c r="M322" s="171">
        <v>1678.6018723192835</v>
      </c>
      <c r="N322" s="1"/>
      <c r="O322" s="1"/>
      <c r="P322" s="156">
        <v>106.25668975206479</v>
      </c>
      <c r="Q322" s="156">
        <v>103.20088836657155</v>
      </c>
      <c r="R322" s="156">
        <v>100</v>
      </c>
      <c r="S322" s="156">
        <v>98.45226570220882</v>
      </c>
      <c r="T322" s="156">
        <v>113.99032979823203</v>
      </c>
      <c r="U322" s="156">
        <v>112.14481952779933</v>
      </c>
      <c r="V322" s="4"/>
      <c r="W322" s="4"/>
      <c r="X322" s="4"/>
      <c r="Y322" s="4"/>
      <c r="Z322" s="4"/>
      <c r="AA322" s="4"/>
      <c r="AB322" s="4"/>
      <c r="AC322" s="4"/>
      <c r="AD322" s="4"/>
      <c r="AE322" s="1"/>
      <c r="AF322" s="1"/>
      <c r="AG322" s="1"/>
    </row>
    <row r="323" spans="1:33" s="5" customFormat="1" ht="11.25" customHeight="1" x14ac:dyDescent="0.2">
      <c r="A323" s="136" t="s">
        <v>268</v>
      </c>
      <c r="B323" s="152" t="s">
        <v>26</v>
      </c>
      <c r="C323" s="165" t="s">
        <v>35</v>
      </c>
      <c r="D323" s="171">
        <v>1441.6327868852459</v>
      </c>
      <c r="E323" s="171">
        <v>1533.0104484754329</v>
      </c>
      <c r="F323" s="172">
        <v>106.33848386506352</v>
      </c>
      <c r="G323" s="8"/>
      <c r="H323" s="171">
        <v>1533.0104484754329</v>
      </c>
      <c r="I323" s="171">
        <v>1533.0104484754329</v>
      </c>
      <c r="J323" s="171">
        <v>1533.0104484754329</v>
      </c>
      <c r="K323" s="171">
        <v>1533.0104484754329</v>
      </c>
      <c r="L323" s="171">
        <v>1608.3426648882755</v>
      </c>
      <c r="M323" s="171">
        <v>1608.3426648882755</v>
      </c>
      <c r="N323" s="1"/>
      <c r="O323" s="1"/>
      <c r="P323" s="156">
        <v>100</v>
      </c>
      <c r="Q323" s="156">
        <v>100</v>
      </c>
      <c r="R323" s="156">
        <v>100</v>
      </c>
      <c r="S323" s="156">
        <v>100</v>
      </c>
      <c r="T323" s="156">
        <v>104.91400541253715</v>
      </c>
      <c r="U323" s="156">
        <v>104.91400541253715</v>
      </c>
      <c r="V323" s="4"/>
      <c r="W323" s="4"/>
      <c r="X323" s="4"/>
      <c r="Y323" s="4"/>
      <c r="Z323" s="4"/>
      <c r="AA323" s="4"/>
      <c r="AB323" s="4"/>
      <c r="AC323" s="4"/>
      <c r="AD323" s="4"/>
      <c r="AE323" s="1"/>
      <c r="AF323" s="1"/>
      <c r="AG323" s="1"/>
    </row>
    <row r="324" spans="1:33" s="10" customFormat="1" ht="11.25" customHeight="1" x14ac:dyDescent="0.2">
      <c r="A324" s="136" t="s">
        <v>268</v>
      </c>
      <c r="B324" s="151" t="s">
        <v>54</v>
      </c>
      <c r="C324" s="168" t="s">
        <v>35</v>
      </c>
      <c r="D324" s="169">
        <v>4225.7780903899911</v>
      </c>
      <c r="E324" s="169">
        <v>4743.9464081493234</v>
      </c>
      <c r="F324" s="170">
        <v>112.2620806553406</v>
      </c>
      <c r="G324" s="8"/>
      <c r="H324" s="169">
        <v>5015.0867294017862</v>
      </c>
      <c r="I324" s="169">
        <v>4880.9035197286539</v>
      </c>
      <c r="J324" s="169">
        <v>4743.9464081493234</v>
      </c>
      <c r="K324" s="169">
        <v>4675.784415182693</v>
      </c>
      <c r="L324" s="169">
        <v>5356.6180802731305</v>
      </c>
      <c r="M324" s="169">
        <v>5279.4023683161968</v>
      </c>
      <c r="N324" s="1"/>
      <c r="O324" s="9"/>
      <c r="P324" s="155">
        <v>105.71550135529964</v>
      </c>
      <c r="Q324" s="155">
        <v>102.88698690491233</v>
      </c>
      <c r="R324" s="155">
        <v>100</v>
      </c>
      <c r="S324" s="155">
        <v>98.563179532350134</v>
      </c>
      <c r="T324" s="155">
        <v>112.91481014775668</v>
      </c>
      <c r="U324" s="155">
        <v>111.28714184559605</v>
      </c>
      <c r="V324" s="8"/>
      <c r="W324" s="8"/>
      <c r="X324" s="8"/>
      <c r="Y324" s="8"/>
      <c r="Z324" s="8"/>
      <c r="AA324" s="8"/>
      <c r="AB324" s="8"/>
      <c r="AC324" s="8"/>
      <c r="AD324" s="8"/>
      <c r="AE324" s="1"/>
      <c r="AF324" s="1"/>
      <c r="AG324" s="1"/>
    </row>
    <row r="325" spans="1:33" s="5" customFormat="1" ht="11.25" customHeight="1" x14ac:dyDescent="0.2">
      <c r="A325" s="136" t="s">
        <v>268</v>
      </c>
      <c r="B325" s="152" t="s">
        <v>53</v>
      </c>
      <c r="C325" s="165" t="s">
        <v>35</v>
      </c>
      <c r="D325" s="171">
        <v>1901.0658448386098</v>
      </c>
      <c r="E325" s="171">
        <v>2083.4103877428042</v>
      </c>
      <c r="F325" s="172">
        <v>109.59170053995024</v>
      </c>
      <c r="G325" s="8"/>
      <c r="H325" s="171">
        <v>2223.3590474271928</v>
      </c>
      <c r="I325" s="171">
        <v>2153.8317004752662</v>
      </c>
      <c r="J325" s="171">
        <v>2083.4103877428042</v>
      </c>
      <c r="K325" s="171">
        <v>2048.5194262682166</v>
      </c>
      <c r="L325" s="171">
        <v>2381.6945298509613</v>
      </c>
      <c r="M325" s="171">
        <v>2341.8099359185821</v>
      </c>
      <c r="N325" s="1"/>
      <c r="O325" s="1"/>
      <c r="P325" s="156">
        <v>106.71728721848271</v>
      </c>
      <c r="Q325" s="156">
        <v>103.38009799445982</v>
      </c>
      <c r="R325" s="156">
        <v>100</v>
      </c>
      <c r="S325" s="156">
        <v>98.325295790024896</v>
      </c>
      <c r="T325" s="156">
        <v>114.31710928691885</v>
      </c>
      <c r="U325" s="156">
        <v>112.40271958400531</v>
      </c>
      <c r="V325" s="4"/>
      <c r="W325" s="4"/>
      <c r="X325" s="4"/>
      <c r="Y325" s="4"/>
      <c r="Z325" s="4"/>
      <c r="AA325" s="4"/>
      <c r="AB325" s="4"/>
      <c r="AC325" s="4"/>
      <c r="AD325" s="4"/>
      <c r="AE325" s="1"/>
      <c r="AF325" s="1"/>
      <c r="AG325" s="1"/>
    </row>
    <row r="326" spans="1:33" s="10" customFormat="1" ht="11.25" customHeight="1" x14ac:dyDescent="0.2">
      <c r="A326" s="136" t="s">
        <v>268</v>
      </c>
      <c r="B326" s="151" t="s">
        <v>52</v>
      </c>
      <c r="C326" s="168" t="s">
        <v>35</v>
      </c>
      <c r="D326" s="169">
        <v>10457.06527946445</v>
      </c>
      <c r="E326" s="169">
        <v>11331.207656658986</v>
      </c>
      <c r="F326" s="170">
        <v>108.3593470427231</v>
      </c>
      <c r="G326" s="8"/>
      <c r="H326" s="169">
        <v>12198.373473583466</v>
      </c>
      <c r="I326" s="169">
        <v>11814.557174424217</v>
      </c>
      <c r="J326" s="169">
        <v>11331.207656658986</v>
      </c>
      <c r="K326" s="169">
        <v>11063.784601695468</v>
      </c>
      <c r="L326" s="169">
        <v>12625.004908761941</v>
      </c>
      <c r="M326" s="169">
        <v>12383.474053191447</v>
      </c>
      <c r="N326" s="1"/>
      <c r="O326" s="9"/>
      <c r="P326" s="155">
        <v>107.65289846590072</v>
      </c>
      <c r="Q326" s="155">
        <v>104.26564874999164</v>
      </c>
      <c r="R326" s="155">
        <v>100</v>
      </c>
      <c r="S326" s="155">
        <v>97.639942157389001</v>
      </c>
      <c r="T326" s="155">
        <v>111.41799966345715</v>
      </c>
      <c r="U326" s="155">
        <v>109.28644526176411</v>
      </c>
      <c r="V326" s="8"/>
      <c r="W326" s="8"/>
      <c r="X326" s="8"/>
      <c r="Y326" s="8"/>
      <c r="Z326" s="8"/>
      <c r="AA326" s="8"/>
      <c r="AB326" s="8"/>
      <c r="AC326" s="8"/>
      <c r="AD326" s="8"/>
      <c r="AE326" s="1"/>
      <c r="AF326" s="1"/>
      <c r="AG326" s="1"/>
    </row>
    <row r="327" spans="1:33" s="5" customFormat="1" ht="11.25" customHeight="1" x14ac:dyDescent="0.25">
      <c r="A327" s="136" t="s">
        <v>268</v>
      </c>
      <c r="B327" s="152" t="s">
        <v>5</v>
      </c>
      <c r="C327" s="165" t="s">
        <v>35</v>
      </c>
      <c r="D327" s="171">
        <v>0</v>
      </c>
      <c r="E327" s="171">
        <v>0</v>
      </c>
      <c r="F327" s="172"/>
      <c r="G327" s="8"/>
      <c r="H327" s="171">
        <v>0</v>
      </c>
      <c r="I327" s="171">
        <v>0</v>
      </c>
      <c r="J327" s="171">
        <v>0</v>
      </c>
      <c r="K327" s="171">
        <v>0</v>
      </c>
      <c r="L327" s="171">
        <v>0</v>
      </c>
      <c r="M327" s="171">
        <v>0</v>
      </c>
      <c r="N327" s="1"/>
      <c r="O327" s="1"/>
      <c r="P327" s="156"/>
      <c r="Q327" s="156"/>
      <c r="R327" s="156"/>
      <c r="S327" s="156"/>
      <c r="T327" s="156"/>
      <c r="U327" s="156"/>
      <c r="V327" s="4"/>
      <c r="W327" s="4"/>
      <c r="X327" s="339" t="s">
        <v>225</v>
      </c>
      <c r="Y327" s="340"/>
      <c r="Z327" s="340"/>
      <c r="AA327" s="340"/>
      <c r="AB327" s="340"/>
      <c r="AC327" s="340"/>
      <c r="AD327" s="340"/>
      <c r="AE327" s="340"/>
      <c r="AF327" s="340"/>
      <c r="AG327" s="1"/>
    </row>
    <row r="328" spans="1:33" s="5" customFormat="1" ht="11.25" customHeight="1" x14ac:dyDescent="0.25">
      <c r="A328" s="136" t="s">
        <v>268</v>
      </c>
      <c r="B328" s="152" t="s">
        <v>51</v>
      </c>
      <c r="C328" s="165" t="s">
        <v>35</v>
      </c>
      <c r="D328" s="171">
        <v>10457.06527946445</v>
      </c>
      <c r="E328" s="171">
        <v>11331.207656658986</v>
      </c>
      <c r="F328" s="172">
        <v>108.3593470427231</v>
      </c>
      <c r="G328" s="8"/>
      <c r="H328" s="171">
        <v>12198.373473583466</v>
      </c>
      <c r="I328" s="171">
        <v>11814.557174424217</v>
      </c>
      <c r="J328" s="171">
        <v>11331.207656658986</v>
      </c>
      <c r="K328" s="171">
        <v>11063.784601695468</v>
      </c>
      <c r="L328" s="171">
        <v>12625.004908761941</v>
      </c>
      <c r="M328" s="171">
        <v>12383.474053191447</v>
      </c>
      <c r="N328" s="1"/>
      <c r="O328" s="1"/>
      <c r="P328" s="156">
        <v>107.65289846590072</v>
      </c>
      <c r="Q328" s="156">
        <v>104.26564874999164</v>
      </c>
      <c r="R328" s="156">
        <v>100</v>
      </c>
      <c r="S328" s="156">
        <v>97.639942157389001</v>
      </c>
      <c r="T328" s="156">
        <v>111.41799966345715</v>
      </c>
      <c r="U328" s="156">
        <v>109.28644526176411</v>
      </c>
      <c r="V328" s="4"/>
      <c r="W328" s="4"/>
      <c r="X328" s="192" t="s">
        <v>260</v>
      </c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s="5" customFormat="1" ht="11.25" customHeight="1" x14ac:dyDescent="0.2">
      <c r="A329" s="136" t="s">
        <v>268</v>
      </c>
      <c r="B329" s="152" t="s">
        <v>50</v>
      </c>
      <c r="C329" s="165" t="s">
        <v>35</v>
      </c>
      <c r="D329" s="171">
        <v>238.12983474734474</v>
      </c>
      <c r="E329" s="171">
        <v>202.77999999999994</v>
      </c>
      <c r="F329" s="172">
        <v>85.155226439874326</v>
      </c>
      <c r="G329" s="8"/>
      <c r="H329" s="171">
        <v>202.77999999999994</v>
      </c>
      <c r="I329" s="171">
        <v>202.77999999999994</v>
      </c>
      <c r="J329" s="171">
        <v>202.77999999999994</v>
      </c>
      <c r="K329" s="171">
        <v>202.77999999999994</v>
      </c>
      <c r="L329" s="171">
        <v>202.77999999999994</v>
      </c>
      <c r="M329" s="171">
        <v>202.77999999999994</v>
      </c>
      <c r="N329" s="1"/>
      <c r="O329" s="1"/>
      <c r="P329" s="156">
        <v>100</v>
      </c>
      <c r="Q329" s="156">
        <v>100</v>
      </c>
      <c r="R329" s="156">
        <v>100</v>
      </c>
      <c r="S329" s="156">
        <v>100</v>
      </c>
      <c r="T329" s="156">
        <v>100</v>
      </c>
      <c r="U329" s="156">
        <v>100</v>
      </c>
      <c r="V329" s="4"/>
      <c r="W329" s="4"/>
      <c r="X329" s="4"/>
      <c r="Y329" s="4"/>
      <c r="Z329" s="4"/>
      <c r="AA329" s="4"/>
      <c r="AB329" s="4"/>
      <c r="AC329" s="4"/>
      <c r="AD329" s="4"/>
      <c r="AE329" s="1"/>
      <c r="AF329" s="1"/>
      <c r="AG329" s="1"/>
    </row>
    <row r="330" spans="1:33" s="5" customFormat="1" ht="11.25" customHeight="1" x14ac:dyDescent="0.2">
      <c r="A330" s="136" t="s">
        <v>268</v>
      </c>
      <c r="B330" s="151" t="s">
        <v>49</v>
      </c>
      <c r="C330" s="168" t="s">
        <v>35</v>
      </c>
      <c r="D330" s="169">
        <v>10218.935444717106</v>
      </c>
      <c r="E330" s="169">
        <v>11128.427656658985</v>
      </c>
      <c r="F330" s="170">
        <v>108.90006808304148</v>
      </c>
      <c r="G330" s="8"/>
      <c r="H330" s="169">
        <v>11995.593473583465</v>
      </c>
      <c r="I330" s="169">
        <v>11611.777174424216</v>
      </c>
      <c r="J330" s="169">
        <v>11128.427656658985</v>
      </c>
      <c r="K330" s="169">
        <v>10861.004601695467</v>
      </c>
      <c r="L330" s="169">
        <v>12422.22490876194</v>
      </c>
      <c r="M330" s="169">
        <v>12180.694053191446</v>
      </c>
      <c r="N330" s="9"/>
      <c r="O330" s="9"/>
      <c r="P330" s="155">
        <v>107.79234806280643</v>
      </c>
      <c r="Q330" s="155">
        <v>104.34337655487211</v>
      </c>
      <c r="R330" s="155">
        <v>100</v>
      </c>
      <c r="S330" s="155">
        <v>97.596937651802961</v>
      </c>
      <c r="T330" s="155">
        <v>111.62605618709107</v>
      </c>
      <c r="U330" s="155">
        <v>109.45566102415924</v>
      </c>
      <c r="V330" s="4"/>
      <c r="W330" s="4"/>
      <c r="X330" s="4"/>
      <c r="Y330" s="4"/>
      <c r="Z330" s="4"/>
      <c r="AA330" s="4"/>
      <c r="AB330" s="4"/>
      <c r="AC330" s="4"/>
      <c r="AD330" s="4"/>
      <c r="AE330" s="1"/>
      <c r="AF330" s="1"/>
      <c r="AG330" s="1"/>
    </row>
    <row r="331" spans="1:33" s="33" customFormat="1" ht="11.25" customHeight="1" x14ac:dyDescent="0.2">
      <c r="A331" s="136" t="s">
        <v>268</v>
      </c>
      <c r="B331" s="153" t="s">
        <v>48</v>
      </c>
      <c r="C331" s="173" t="s">
        <v>46</v>
      </c>
      <c r="D331" s="174">
        <v>1.2773669305896382</v>
      </c>
      <c r="E331" s="174">
        <v>1.3910534570823732</v>
      </c>
      <c r="F331" s="170">
        <v>108.90006808304148</v>
      </c>
      <c r="G331" s="8"/>
      <c r="H331" s="174">
        <v>0.99963278946528877</v>
      </c>
      <c r="I331" s="174">
        <v>1.1611777174424216</v>
      </c>
      <c r="J331" s="174">
        <v>1.3910534570823732</v>
      </c>
      <c r="K331" s="174">
        <v>1.5515720859564954</v>
      </c>
      <c r="L331" s="174">
        <v>1.22688641074192</v>
      </c>
      <c r="M331" s="174">
        <v>1.3534104503546052</v>
      </c>
      <c r="N331" s="1"/>
      <c r="O331" s="16"/>
      <c r="P331" s="157">
        <v>71.861565375204279</v>
      </c>
      <c r="Q331" s="157">
        <v>83.474701243897698</v>
      </c>
      <c r="R331" s="157">
        <v>100</v>
      </c>
      <c r="S331" s="157">
        <v>111.53935731634625</v>
      </c>
      <c r="T331" s="157">
        <v>88.198365382392936</v>
      </c>
      <c r="U331" s="157">
        <v>97.293920910363767</v>
      </c>
      <c r="V331" s="4"/>
      <c r="W331" s="4"/>
      <c r="X331" s="4"/>
      <c r="Y331" s="4"/>
      <c r="Z331" s="4"/>
      <c r="AA331" s="4"/>
      <c r="AB331" s="4"/>
      <c r="AC331" s="4"/>
      <c r="AD331" s="4"/>
      <c r="AE331" s="1"/>
      <c r="AF331" s="1"/>
      <c r="AG331" s="1"/>
    </row>
    <row r="332" spans="1:33" s="33" customFormat="1" ht="11.25" customHeight="1" x14ac:dyDescent="0.2">
      <c r="A332" s="136" t="s">
        <v>268</v>
      </c>
      <c r="B332" s="16" t="s">
        <v>47</v>
      </c>
      <c r="C332" s="175" t="s">
        <v>46</v>
      </c>
      <c r="D332" s="176">
        <v>0.59400000000000008</v>
      </c>
      <c r="E332" s="176">
        <v>0.69</v>
      </c>
      <c r="F332" s="164">
        <v>116.16161616161614</v>
      </c>
      <c r="G332" s="8"/>
      <c r="H332" s="216">
        <v>0.69</v>
      </c>
      <c r="I332" s="216">
        <v>0.69</v>
      </c>
      <c r="J332" s="216">
        <v>0.69</v>
      </c>
      <c r="K332" s="216">
        <v>0.69</v>
      </c>
      <c r="L332" s="216">
        <v>0.69</v>
      </c>
      <c r="M332" s="216">
        <v>0.69</v>
      </c>
      <c r="N332" s="1"/>
      <c r="O332" s="16"/>
      <c r="P332" s="73">
        <v>100</v>
      </c>
      <c r="Q332" s="73">
        <v>100</v>
      </c>
      <c r="R332" s="73">
        <v>100</v>
      </c>
      <c r="S332" s="73">
        <v>100</v>
      </c>
      <c r="T332" s="73">
        <v>100</v>
      </c>
      <c r="U332" s="73">
        <v>100</v>
      </c>
      <c r="V332" s="4"/>
      <c r="W332" s="4"/>
      <c r="X332" s="4"/>
      <c r="Y332" s="4"/>
      <c r="Z332" s="4"/>
      <c r="AA332" s="4"/>
      <c r="AB332" s="4"/>
      <c r="AC332" s="4"/>
      <c r="AD332" s="4"/>
      <c r="AE332" s="1"/>
      <c r="AF332" s="1"/>
      <c r="AG332" s="1"/>
    </row>
    <row r="333" spans="1:33" s="5" customFormat="1" ht="11.25" customHeight="1" x14ac:dyDescent="0.2">
      <c r="A333" s="136" t="s">
        <v>268</v>
      </c>
      <c r="B333" s="9" t="s">
        <v>45</v>
      </c>
      <c r="C333" s="159" t="s">
        <v>35</v>
      </c>
      <c r="D333" s="163">
        <v>4990.1298347473457</v>
      </c>
      <c r="E333" s="163">
        <v>5722.78</v>
      </c>
      <c r="F333" s="164">
        <v>114.68198603072517</v>
      </c>
      <c r="G333" s="8"/>
      <c r="H333" s="163">
        <v>8482.7800000000007</v>
      </c>
      <c r="I333" s="163">
        <v>7102.7799999999988</v>
      </c>
      <c r="J333" s="163">
        <v>5722.78</v>
      </c>
      <c r="K333" s="163">
        <v>5032.78</v>
      </c>
      <c r="L333" s="163">
        <v>7189.0299999999988</v>
      </c>
      <c r="M333" s="163">
        <v>6412.7799999999988</v>
      </c>
      <c r="N333" s="1"/>
      <c r="O333" s="9"/>
      <c r="P333" s="8">
        <v>148.22830861923754</v>
      </c>
      <c r="Q333" s="8">
        <v>124.11415430961874</v>
      </c>
      <c r="R333" s="8">
        <v>100</v>
      </c>
      <c r="S333" s="8">
        <v>87.942922845190623</v>
      </c>
      <c r="T333" s="8">
        <v>125.62128895396991</v>
      </c>
      <c r="U333" s="8">
        <v>112.05707715480938</v>
      </c>
      <c r="V333" s="8"/>
      <c r="W333" s="8"/>
      <c r="X333" s="8"/>
      <c r="Y333" s="8"/>
      <c r="Z333" s="8"/>
      <c r="AA333" s="8"/>
      <c r="AB333" s="8"/>
      <c r="AC333" s="8"/>
      <c r="AD333" s="8"/>
      <c r="AE333" s="1"/>
      <c r="AF333" s="1"/>
      <c r="AG333" s="1"/>
    </row>
    <row r="334" spans="1:33" s="5" customFormat="1" ht="11.25" customHeight="1" x14ac:dyDescent="0.2">
      <c r="A334" s="136" t="s">
        <v>268</v>
      </c>
      <c r="B334" s="1" t="s">
        <v>44</v>
      </c>
      <c r="C334" s="162" t="s">
        <v>35</v>
      </c>
      <c r="D334" s="177">
        <v>0</v>
      </c>
      <c r="E334" s="177">
        <v>0</v>
      </c>
      <c r="F334" s="164"/>
      <c r="G334" s="8"/>
      <c r="H334" s="177">
        <v>0</v>
      </c>
      <c r="I334" s="177">
        <v>0</v>
      </c>
      <c r="J334" s="177">
        <v>0</v>
      </c>
      <c r="K334" s="177">
        <v>0</v>
      </c>
      <c r="L334" s="177">
        <v>0</v>
      </c>
      <c r="M334" s="177">
        <v>0</v>
      </c>
      <c r="N334" s="1"/>
      <c r="O334" s="1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1"/>
      <c r="AF334" s="1"/>
      <c r="AG334" s="1"/>
    </row>
    <row r="335" spans="1:33" s="5" customFormat="1" ht="11.25" customHeight="1" x14ac:dyDescent="0.2">
      <c r="A335" s="136" t="s">
        <v>268</v>
      </c>
      <c r="B335" s="151" t="s">
        <v>43</v>
      </c>
      <c r="C335" s="165"/>
      <c r="D335" s="171"/>
      <c r="E335" s="171"/>
      <c r="F335" s="170"/>
      <c r="G335" s="8"/>
      <c r="H335" s="171"/>
      <c r="I335" s="171"/>
      <c r="J335" s="171"/>
      <c r="K335" s="171"/>
      <c r="L335" s="171"/>
      <c r="M335" s="171"/>
      <c r="N335" s="1"/>
      <c r="O335" s="1"/>
      <c r="P335" s="156"/>
      <c r="Q335" s="156"/>
      <c r="R335" s="156"/>
      <c r="S335" s="156"/>
      <c r="T335" s="156"/>
      <c r="U335" s="156"/>
      <c r="V335" s="4"/>
      <c r="W335" s="4"/>
      <c r="X335" s="4"/>
      <c r="Y335" s="4"/>
      <c r="Z335" s="4"/>
      <c r="AA335" s="4"/>
      <c r="AB335" s="4"/>
      <c r="AC335" s="4"/>
      <c r="AD335" s="4"/>
      <c r="AE335" s="1"/>
      <c r="AF335" s="1"/>
      <c r="AG335" s="1"/>
    </row>
    <row r="336" spans="1:33" s="5" customFormat="1" ht="11.25" customHeight="1" x14ac:dyDescent="0.2">
      <c r="A336" s="136" t="s">
        <v>268</v>
      </c>
      <c r="B336" s="152" t="s">
        <v>42</v>
      </c>
      <c r="C336" s="165" t="s">
        <v>35</v>
      </c>
      <c r="D336" s="171">
        <v>4990.1298347473457</v>
      </c>
      <c r="E336" s="171">
        <v>5722.78</v>
      </c>
      <c r="F336" s="172">
        <v>114.68198603072517</v>
      </c>
      <c r="G336" s="8"/>
      <c r="H336" s="171">
        <v>8482.7800000000007</v>
      </c>
      <c r="I336" s="171">
        <v>7102.7799999999988</v>
      </c>
      <c r="J336" s="171">
        <v>5722.78</v>
      </c>
      <c r="K336" s="171">
        <v>5032.78</v>
      </c>
      <c r="L336" s="171">
        <v>7189.0299999999988</v>
      </c>
      <c r="M336" s="171">
        <v>6412.7799999999988</v>
      </c>
      <c r="N336" s="1"/>
      <c r="O336" s="1"/>
      <c r="P336" s="156">
        <v>148.22830861923754</v>
      </c>
      <c r="Q336" s="156">
        <v>124.11415430961874</v>
      </c>
      <c r="R336" s="156">
        <v>100</v>
      </c>
      <c r="S336" s="156">
        <v>87.942922845190623</v>
      </c>
      <c r="T336" s="156">
        <v>125.62128895396991</v>
      </c>
      <c r="U336" s="156">
        <v>112.05707715480938</v>
      </c>
      <c r="V336" s="4"/>
      <c r="W336" s="4"/>
      <c r="X336" s="4"/>
      <c r="Y336" s="4"/>
      <c r="Z336" s="4"/>
      <c r="AA336" s="4"/>
      <c r="AB336" s="4"/>
      <c r="AC336" s="4"/>
      <c r="AD336" s="4"/>
      <c r="AE336" s="1"/>
      <c r="AF336" s="1"/>
      <c r="AG336" s="1"/>
    </row>
    <row r="337" spans="1:33" s="5" customFormat="1" ht="11.25" customHeight="1" x14ac:dyDescent="0.2">
      <c r="A337" s="136" t="s">
        <v>268</v>
      </c>
      <c r="B337" s="152" t="s">
        <v>41</v>
      </c>
      <c r="C337" s="165" t="s">
        <v>35</v>
      </c>
      <c r="D337" s="171">
        <v>10457.06527946445</v>
      </c>
      <c r="E337" s="171">
        <v>11331.207656658986</v>
      </c>
      <c r="F337" s="172">
        <v>108.3593470427231</v>
      </c>
      <c r="G337" s="8"/>
      <c r="H337" s="171">
        <v>12198.373473583466</v>
      </c>
      <c r="I337" s="171">
        <v>11814.557174424215</v>
      </c>
      <c r="J337" s="171">
        <v>11331.207656658986</v>
      </c>
      <c r="K337" s="171">
        <v>11063.784601695468</v>
      </c>
      <c r="L337" s="171">
        <v>12625.004908761939</v>
      </c>
      <c r="M337" s="171">
        <v>12383.474053191449</v>
      </c>
      <c r="N337" s="1"/>
      <c r="O337" s="1"/>
      <c r="P337" s="156">
        <v>107.65289846590072</v>
      </c>
      <c r="Q337" s="156">
        <v>104.26564874999163</v>
      </c>
      <c r="R337" s="156">
        <v>100</v>
      </c>
      <c r="S337" s="156">
        <v>97.639942157389001</v>
      </c>
      <c r="T337" s="156">
        <v>111.41799966345714</v>
      </c>
      <c r="U337" s="156">
        <v>109.28644526176411</v>
      </c>
      <c r="V337" s="4"/>
      <c r="W337" s="4"/>
      <c r="X337" s="4"/>
      <c r="Y337" s="4"/>
      <c r="Z337" s="4"/>
      <c r="AA337" s="4"/>
      <c r="AB337" s="4"/>
      <c r="AC337" s="4"/>
      <c r="AD337" s="4"/>
      <c r="AE337" s="1"/>
      <c r="AF337" s="1"/>
      <c r="AG337" s="1"/>
    </row>
    <row r="338" spans="1:33" s="5" customFormat="1" ht="11.25" customHeight="1" x14ac:dyDescent="0.2">
      <c r="A338" s="136" t="s">
        <v>268</v>
      </c>
      <c r="B338" s="152" t="s">
        <v>40</v>
      </c>
      <c r="C338" s="165" t="s">
        <v>35</v>
      </c>
      <c r="D338" s="171">
        <v>3994.0487897831549</v>
      </c>
      <c r="E338" s="171">
        <v>4178.6462809378172</v>
      </c>
      <c r="F338" s="172">
        <v>104.62181362498288</v>
      </c>
      <c r="G338" s="8"/>
      <c r="H338" s="171">
        <v>4706.2937919792785</v>
      </c>
      <c r="I338" s="171">
        <v>4490.3205278527212</v>
      </c>
      <c r="J338" s="171">
        <v>4178.6462809378172</v>
      </c>
      <c r="K338" s="171">
        <v>3996.3712134896969</v>
      </c>
      <c r="L338" s="171">
        <v>4657.9070527826734</v>
      </c>
      <c r="M338" s="171">
        <v>4513.4385833832066</v>
      </c>
      <c r="N338" s="1"/>
      <c r="O338" s="1"/>
      <c r="P338" s="156">
        <v>112.62723560614565</v>
      </c>
      <c r="Q338" s="156">
        <v>107.45873725509387</v>
      </c>
      <c r="R338" s="156">
        <v>100</v>
      </c>
      <c r="S338" s="156">
        <v>95.637939772992411</v>
      </c>
      <c r="T338" s="156">
        <v>111.46928310326605</v>
      </c>
      <c r="U338" s="156">
        <v>108.01197995562934</v>
      </c>
      <c r="V338" s="4"/>
      <c r="W338" s="4"/>
      <c r="X338" s="4"/>
      <c r="Y338" s="4"/>
      <c r="Z338" s="4"/>
      <c r="AA338" s="4"/>
      <c r="AB338" s="4"/>
      <c r="AC338" s="4"/>
      <c r="AD338" s="4"/>
      <c r="AE338" s="1"/>
      <c r="AF338" s="1"/>
      <c r="AG338" s="1"/>
    </row>
    <row r="339" spans="1:33" s="5" customFormat="1" ht="11.25" customHeight="1" x14ac:dyDescent="0.2">
      <c r="A339" s="136" t="s">
        <v>268</v>
      </c>
      <c r="B339" s="152" t="s">
        <v>39</v>
      </c>
      <c r="C339" s="165" t="s">
        <v>35</v>
      </c>
      <c r="D339" s="171">
        <v>2003.9705195208164</v>
      </c>
      <c r="E339" s="171">
        <v>2144.4241982744165</v>
      </c>
      <c r="F339" s="172">
        <v>107.00876970920635</v>
      </c>
      <c r="G339" s="8"/>
      <c r="H339" s="171">
        <v>2194.7447374957055</v>
      </c>
      <c r="I339" s="171">
        <v>2169.9588729831808</v>
      </c>
      <c r="J339" s="171">
        <v>2144.4241982744165</v>
      </c>
      <c r="K339" s="171">
        <v>2131.9157641276679</v>
      </c>
      <c r="L339" s="171">
        <v>2308.6983303060933</v>
      </c>
      <c r="M339" s="171">
        <v>2294.11500302073</v>
      </c>
      <c r="N339" s="1"/>
      <c r="O339" s="1"/>
      <c r="P339" s="156">
        <v>102.34657579697996</v>
      </c>
      <c r="Q339" s="156">
        <v>101.19074736842234</v>
      </c>
      <c r="R339" s="156">
        <v>100</v>
      </c>
      <c r="S339" s="156">
        <v>99.416699636349279</v>
      </c>
      <c r="T339" s="156">
        <v>107.66052407745936</v>
      </c>
      <c r="U339" s="156">
        <v>106.98046612544138</v>
      </c>
      <c r="V339" s="4"/>
      <c r="W339" s="4"/>
      <c r="X339" s="4"/>
      <c r="Y339" s="4"/>
      <c r="Z339" s="4"/>
      <c r="AA339" s="4"/>
      <c r="AB339" s="4"/>
      <c r="AC339" s="4"/>
      <c r="AD339" s="4"/>
      <c r="AE339" s="1"/>
      <c r="AF339" s="1"/>
      <c r="AG339" s="1"/>
    </row>
    <row r="340" spans="1:33" s="5" customFormat="1" ht="11.25" customHeight="1" x14ac:dyDescent="0.2">
      <c r="A340" s="136" t="s">
        <v>268</v>
      </c>
      <c r="B340" s="151" t="s">
        <v>38</v>
      </c>
      <c r="C340" s="168" t="s">
        <v>35</v>
      </c>
      <c r="D340" s="169">
        <v>4459.0459701604786</v>
      </c>
      <c r="E340" s="169">
        <v>5008.1371774467516</v>
      </c>
      <c r="F340" s="170">
        <v>112.31409613089302</v>
      </c>
      <c r="G340" s="8"/>
      <c r="H340" s="169">
        <v>5297.334944108482</v>
      </c>
      <c r="I340" s="169">
        <v>5154.2777735883137</v>
      </c>
      <c r="J340" s="169">
        <v>5008.1371774467516</v>
      </c>
      <c r="K340" s="169">
        <v>4935.4976240781034</v>
      </c>
      <c r="L340" s="169">
        <v>5658.3995256731723</v>
      </c>
      <c r="M340" s="169">
        <v>5575.9204667875119</v>
      </c>
      <c r="N340" s="1"/>
      <c r="O340" s="9"/>
      <c r="P340" s="155">
        <v>105.77455761323952</v>
      </c>
      <c r="Q340" s="155">
        <v>102.9180629636041</v>
      </c>
      <c r="R340" s="155">
        <v>100</v>
      </c>
      <c r="S340" s="155">
        <v>98.549569414836171</v>
      </c>
      <c r="T340" s="155">
        <v>112.984116153103</v>
      </c>
      <c r="U340" s="155">
        <v>111.33721520044759</v>
      </c>
      <c r="V340" s="8"/>
      <c r="W340" s="8"/>
      <c r="X340" s="8"/>
      <c r="Y340" s="8"/>
      <c r="Z340" s="8"/>
      <c r="AA340" s="8"/>
      <c r="AB340" s="8"/>
      <c r="AC340" s="8"/>
      <c r="AD340" s="8"/>
      <c r="AE340" s="1"/>
      <c r="AF340" s="1"/>
      <c r="AG340" s="1"/>
    </row>
    <row r="341" spans="1:33" s="5" customFormat="1" ht="11.25" customHeight="1" x14ac:dyDescent="0.2">
      <c r="A341" s="136" t="s">
        <v>268</v>
      </c>
      <c r="B341" s="152" t="s">
        <v>37</v>
      </c>
      <c r="C341" s="165" t="s">
        <v>35</v>
      </c>
      <c r="D341" s="171">
        <v>996.08104496419082</v>
      </c>
      <c r="E341" s="171">
        <v>1544.1337190621825</v>
      </c>
      <c r="F341" s="172">
        <v>155.02089181083596</v>
      </c>
      <c r="G341" s="8"/>
      <c r="H341" s="171">
        <v>3776.4862080207222</v>
      </c>
      <c r="I341" s="171">
        <v>2612.4594721472777</v>
      </c>
      <c r="J341" s="171">
        <v>1544.1337190621825</v>
      </c>
      <c r="K341" s="171">
        <v>1036.4087865103029</v>
      </c>
      <c r="L341" s="171">
        <v>2531.1229472173254</v>
      </c>
      <c r="M341" s="171">
        <v>1899.3414166167922</v>
      </c>
      <c r="N341" s="1"/>
      <c r="O341" s="1"/>
      <c r="P341" s="156">
        <v>244.56989452405335</v>
      </c>
      <c r="Q341" s="156">
        <v>169.18609055010691</v>
      </c>
      <c r="R341" s="156">
        <v>100</v>
      </c>
      <c r="S341" s="156">
        <v>67.119108514757229</v>
      </c>
      <c r="T341" s="156">
        <v>163.91863709540536</v>
      </c>
      <c r="U341" s="156">
        <v>123.00368764502743</v>
      </c>
      <c r="V341" s="4"/>
      <c r="W341" s="4"/>
      <c r="X341" s="4"/>
      <c r="Y341" s="4"/>
      <c r="Z341" s="4"/>
      <c r="AA341" s="4"/>
      <c r="AB341" s="4"/>
      <c r="AC341" s="4"/>
      <c r="AD341" s="4"/>
      <c r="AE341" s="1"/>
      <c r="AF341" s="1"/>
      <c r="AG341" s="1"/>
    </row>
    <row r="342" spans="1:33" s="5" customFormat="1" ht="11.25" customHeight="1" x14ac:dyDescent="0.2">
      <c r="A342" s="136" t="s">
        <v>268</v>
      </c>
      <c r="B342" s="151" t="s">
        <v>36</v>
      </c>
      <c r="C342" s="168" t="s">
        <v>35</v>
      </c>
      <c r="D342" s="169">
        <v>-1007.8894745566256</v>
      </c>
      <c r="E342" s="169">
        <v>-600.290479212234</v>
      </c>
      <c r="F342" s="170"/>
      <c r="G342" s="8"/>
      <c r="H342" s="169">
        <v>1581.7414705250167</v>
      </c>
      <c r="I342" s="169">
        <v>442.50059916409691</v>
      </c>
      <c r="J342" s="169">
        <v>-600.290479212234</v>
      </c>
      <c r="K342" s="169">
        <v>-1095.506977617365</v>
      </c>
      <c r="L342" s="169">
        <v>222.42461691123208</v>
      </c>
      <c r="M342" s="169">
        <v>-394.77358640393777</v>
      </c>
      <c r="N342" s="1"/>
      <c r="O342" s="9"/>
      <c r="P342" s="155"/>
      <c r="Q342" s="155"/>
      <c r="R342" s="155"/>
      <c r="S342" s="155"/>
      <c r="T342" s="155"/>
      <c r="U342" s="155"/>
      <c r="V342" s="8"/>
      <c r="W342" s="8"/>
      <c r="X342" s="8"/>
      <c r="Y342" s="8"/>
      <c r="Z342" s="8"/>
      <c r="AA342" s="8"/>
      <c r="AB342" s="8"/>
      <c r="AC342" s="8"/>
      <c r="AD342" s="8"/>
      <c r="AE342" s="1"/>
      <c r="AF342" s="1"/>
      <c r="AG342" s="1"/>
    </row>
    <row r="343" spans="1:33" s="5" customFormat="1" ht="11.4" customHeight="1" x14ac:dyDescent="0.25">
      <c r="A343" s="136" t="s">
        <v>268</v>
      </c>
      <c r="B343" s="152" t="s">
        <v>34</v>
      </c>
      <c r="C343" s="167" t="s">
        <v>33</v>
      </c>
      <c r="D343" s="171">
        <v>-3.7601706281487086</v>
      </c>
      <c r="E343" s="171">
        <v>-2.2399692116851857</v>
      </c>
      <c r="F343" s="172"/>
      <c r="G343" s="8"/>
      <c r="H343" s="171">
        <v>5.5303253992730266</v>
      </c>
      <c r="I343" s="171">
        <v>1.5970986171056734</v>
      </c>
      <c r="J343" s="171">
        <v>-2.2399692116851857</v>
      </c>
      <c r="K343" s="171">
        <v>-4.1575373746130868</v>
      </c>
      <c r="L343" s="171">
        <v>0.72606200519981889</v>
      </c>
      <c r="M343" s="171">
        <v>-1.31066881631746</v>
      </c>
      <c r="N343" s="1"/>
      <c r="O343" s="1"/>
      <c r="P343" s="156"/>
      <c r="Q343" s="156"/>
      <c r="R343" s="156"/>
      <c r="S343" s="156"/>
      <c r="T343" s="156"/>
      <c r="U343" s="156"/>
      <c r="V343" s="4"/>
      <c r="W343" s="4"/>
      <c r="X343" s="339" t="s">
        <v>226</v>
      </c>
      <c r="Y343" s="340"/>
      <c r="Z343" s="340"/>
      <c r="AA343" s="340"/>
      <c r="AB343" s="340"/>
      <c r="AC343" s="340"/>
      <c r="AD343" s="340"/>
      <c r="AE343" s="340"/>
      <c r="AF343" s="340"/>
      <c r="AG343" s="1"/>
    </row>
    <row r="344" spans="1:33" s="5" customFormat="1" ht="11.4" customHeight="1" x14ac:dyDescent="0.25">
      <c r="A344" s="136" t="s">
        <v>268</v>
      </c>
      <c r="B344" s="1"/>
      <c r="C344" s="19"/>
      <c r="D344" s="35">
        <v>0</v>
      </c>
      <c r="E344" s="35">
        <v>0</v>
      </c>
      <c r="F344" s="36"/>
      <c r="G344" s="36"/>
      <c r="H344" s="35">
        <v>0</v>
      </c>
      <c r="I344" s="35">
        <v>0</v>
      </c>
      <c r="J344" s="35">
        <v>0</v>
      </c>
      <c r="K344" s="35">
        <v>0</v>
      </c>
      <c r="L344" s="35"/>
      <c r="M344" s="35"/>
      <c r="N344" s="35"/>
      <c r="O344" s="1"/>
      <c r="P344" s="4"/>
      <c r="Q344" s="4"/>
      <c r="R344" s="4"/>
      <c r="S344" s="4"/>
      <c r="T344" s="4"/>
      <c r="U344" s="4"/>
      <c r="V344" s="4"/>
      <c r="W344" s="4"/>
      <c r="X344" s="192" t="s">
        <v>261</v>
      </c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s="5" customFormat="1" x14ac:dyDescent="0.2">
      <c r="A345" s="136" t="s">
        <v>269</v>
      </c>
      <c r="B345" s="141" t="s">
        <v>148</v>
      </c>
      <c r="C345" s="140"/>
      <c r="D345" s="140"/>
      <c r="E345" s="140"/>
      <c r="F345" s="140"/>
      <c r="G345" s="140"/>
      <c r="H345" s="140"/>
      <c r="I345" s="140"/>
      <c r="J345" s="140"/>
      <c r="K345" s="140"/>
      <c r="L345" s="140"/>
      <c r="M345" s="140"/>
      <c r="N345" s="140"/>
      <c r="O345" s="140"/>
      <c r="P345" s="140"/>
      <c r="Q345" s="140"/>
      <c r="R345" s="140"/>
      <c r="S345" s="140"/>
      <c r="T345" s="140"/>
      <c r="U345" s="140"/>
      <c r="V345" s="140"/>
      <c r="W345" s="140"/>
      <c r="X345" s="140"/>
      <c r="Y345" s="140"/>
      <c r="Z345" s="140"/>
      <c r="AA345" s="140"/>
      <c r="AB345" s="140"/>
      <c r="AC345" s="140"/>
      <c r="AD345" s="140"/>
      <c r="AE345" s="140"/>
      <c r="AF345" s="141"/>
      <c r="AG345" s="1"/>
    </row>
    <row r="346" spans="1:33" s="5" customFormat="1" x14ac:dyDescent="0.2">
      <c r="A346" s="136" t="s">
        <v>269</v>
      </c>
      <c r="B346" s="141" t="s">
        <v>149</v>
      </c>
      <c r="C346" s="140"/>
      <c r="D346" s="143" t="s">
        <v>124</v>
      </c>
      <c r="E346" s="143" t="s">
        <v>124</v>
      </c>
      <c r="F346" s="140"/>
      <c r="G346" s="140"/>
      <c r="H346" s="143" t="s">
        <v>126</v>
      </c>
      <c r="I346" s="143" t="s">
        <v>127</v>
      </c>
      <c r="J346" s="143" t="s">
        <v>125</v>
      </c>
      <c r="K346" s="143" t="s">
        <v>128</v>
      </c>
      <c r="L346" s="143" t="s">
        <v>129</v>
      </c>
      <c r="M346" s="140" t="s">
        <v>130</v>
      </c>
      <c r="N346" s="140"/>
      <c r="O346" s="140"/>
      <c r="P346" s="140"/>
      <c r="Q346" s="140"/>
      <c r="R346" s="140"/>
      <c r="S346" s="143" t="s">
        <v>64</v>
      </c>
      <c r="T346" s="140"/>
      <c r="U346" s="140"/>
      <c r="V346" s="140"/>
      <c r="W346" s="140"/>
      <c r="X346" s="140"/>
      <c r="Y346" s="140"/>
      <c r="Z346" s="140"/>
      <c r="AA346" s="140"/>
      <c r="AB346" s="140"/>
      <c r="AC346" s="140"/>
      <c r="AD346" s="140"/>
      <c r="AE346" s="140"/>
      <c r="AF346" s="141"/>
      <c r="AG346" s="1"/>
    </row>
    <row r="347" spans="1:33" s="5" customFormat="1" ht="12" customHeight="1" x14ac:dyDescent="0.25">
      <c r="A347" s="136" t="s">
        <v>269</v>
      </c>
      <c r="B347" s="149" t="s">
        <v>269</v>
      </c>
      <c r="C347" s="158"/>
      <c r="D347" s="185">
        <v>2022</v>
      </c>
      <c r="E347" s="185">
        <v>2023</v>
      </c>
      <c r="F347" s="341" t="s">
        <v>256</v>
      </c>
      <c r="G347" s="186"/>
      <c r="H347" s="179"/>
      <c r="I347" s="179"/>
      <c r="J347" s="179" t="s">
        <v>258</v>
      </c>
      <c r="K347" s="179"/>
      <c r="L347" s="179"/>
      <c r="M347" s="179"/>
      <c r="N347" s="142"/>
      <c r="O347" s="142"/>
      <c r="P347" s="179"/>
      <c r="Q347" s="179"/>
      <c r="R347" s="179" t="s">
        <v>160</v>
      </c>
      <c r="S347" s="179"/>
      <c r="T347" s="179"/>
      <c r="U347" s="179"/>
      <c r="V347" s="66"/>
      <c r="W347" s="66"/>
      <c r="X347" s="66"/>
      <c r="Y347" s="66"/>
      <c r="Z347" s="66"/>
      <c r="AA347" s="66"/>
      <c r="AB347" s="66"/>
      <c r="AC347" s="66"/>
      <c r="AD347" s="66"/>
      <c r="AE347" s="1"/>
      <c r="AF347" s="1"/>
      <c r="AG347" s="1"/>
    </row>
    <row r="348" spans="1:33" s="5" customFormat="1" ht="12" x14ac:dyDescent="0.25">
      <c r="A348" s="136" t="s">
        <v>269</v>
      </c>
      <c r="B348" s="150" t="s">
        <v>84</v>
      </c>
      <c r="C348" s="158"/>
      <c r="D348" s="185"/>
      <c r="E348" s="330" t="s">
        <v>259</v>
      </c>
      <c r="F348" s="342"/>
      <c r="G348" s="186"/>
      <c r="H348" s="187" t="s">
        <v>83</v>
      </c>
      <c r="I348" s="185" t="s">
        <v>82</v>
      </c>
      <c r="J348" s="214" t="s">
        <v>81</v>
      </c>
      <c r="K348" s="185" t="s">
        <v>80</v>
      </c>
      <c r="L348" s="185" t="s">
        <v>79</v>
      </c>
      <c r="M348" s="205" t="s">
        <v>78</v>
      </c>
      <c r="N348" s="191"/>
      <c r="O348" s="191"/>
      <c r="P348" s="188" t="s">
        <v>83</v>
      </c>
      <c r="Q348" s="185" t="s">
        <v>82</v>
      </c>
      <c r="R348" s="214" t="s">
        <v>81</v>
      </c>
      <c r="S348" s="185" t="s">
        <v>80</v>
      </c>
      <c r="T348" s="185" t="s">
        <v>79</v>
      </c>
      <c r="U348" s="188" t="s">
        <v>78</v>
      </c>
      <c r="V348" s="66"/>
      <c r="W348" s="66"/>
      <c r="X348" s="66"/>
      <c r="Y348" s="66"/>
      <c r="Z348" s="66"/>
      <c r="AA348" s="66"/>
      <c r="AB348" s="66"/>
      <c r="AC348" s="66"/>
      <c r="AD348" s="66"/>
      <c r="AE348" s="1"/>
      <c r="AF348" s="1"/>
      <c r="AG348" s="1"/>
    </row>
    <row r="349" spans="1:33" s="5" customFormat="1" x14ac:dyDescent="0.2">
      <c r="A349" s="136" t="s">
        <v>269</v>
      </c>
      <c r="B349" s="9" t="s">
        <v>21</v>
      </c>
      <c r="C349" s="159" t="s">
        <v>20</v>
      </c>
      <c r="D349" s="160">
        <v>9000</v>
      </c>
      <c r="E349" s="160">
        <v>9000</v>
      </c>
      <c r="F349" s="160"/>
      <c r="G349" s="78"/>
      <c r="H349" s="178">
        <v>12000</v>
      </c>
      <c r="I349" s="178">
        <v>10000</v>
      </c>
      <c r="J349" s="178">
        <v>9000</v>
      </c>
      <c r="K349" s="178">
        <v>8000</v>
      </c>
      <c r="L349" s="178">
        <v>9000</v>
      </c>
      <c r="M349" s="178">
        <v>9000</v>
      </c>
      <c r="N349" s="2" t="e">
        <v>#N/A</v>
      </c>
      <c r="O349" s="2"/>
      <c r="P349" s="62">
        <v>133.33333333333331</v>
      </c>
      <c r="Q349" s="62">
        <v>111.11111111111111</v>
      </c>
      <c r="R349" s="62">
        <v>100</v>
      </c>
      <c r="S349" s="62">
        <v>88.888888888888886</v>
      </c>
      <c r="T349" s="62">
        <v>100</v>
      </c>
      <c r="U349" s="62">
        <v>100</v>
      </c>
      <c r="V349" s="82"/>
      <c r="W349" s="82"/>
      <c r="X349" s="82"/>
      <c r="Y349" s="82"/>
      <c r="Z349" s="82"/>
      <c r="AA349" s="82"/>
      <c r="AB349" s="82"/>
      <c r="AC349" s="82"/>
      <c r="AD349" s="82"/>
      <c r="AE349" s="1"/>
      <c r="AF349" s="9"/>
      <c r="AG349" s="1"/>
    </row>
    <row r="350" spans="1:33" s="5" customFormat="1" x14ac:dyDescent="0.2">
      <c r="A350" s="136" t="s">
        <v>269</v>
      </c>
      <c r="B350" s="9" t="s">
        <v>203</v>
      </c>
      <c r="C350" s="159" t="s">
        <v>75</v>
      </c>
      <c r="D350" s="161">
        <v>2.25</v>
      </c>
      <c r="E350" s="161">
        <v>2.25</v>
      </c>
      <c r="F350" s="160"/>
      <c r="G350" s="78"/>
      <c r="H350" s="216">
        <v>3</v>
      </c>
      <c r="I350" s="216">
        <v>2.5</v>
      </c>
      <c r="J350" s="216">
        <v>2.25</v>
      </c>
      <c r="K350" s="216">
        <v>2</v>
      </c>
      <c r="L350" s="216">
        <v>2</v>
      </c>
      <c r="M350" s="216">
        <v>2.5714285714285716</v>
      </c>
      <c r="N350" s="217" t="e">
        <v>#N/A</v>
      </c>
      <c r="O350" s="1"/>
      <c r="P350" s="62">
        <v>133.33333333333331</v>
      </c>
      <c r="Q350" s="62">
        <v>111.11111111111111</v>
      </c>
      <c r="R350" s="62">
        <v>100</v>
      </c>
      <c r="S350" s="62">
        <v>88.888888888888886</v>
      </c>
      <c r="T350" s="62">
        <v>88.888888888888886</v>
      </c>
      <c r="U350" s="62">
        <v>114.28571428571431</v>
      </c>
      <c r="V350" s="82"/>
      <c r="W350" s="82"/>
      <c r="X350" s="82"/>
      <c r="Y350" s="82"/>
      <c r="Z350" s="82"/>
      <c r="AA350" s="82"/>
      <c r="AB350" s="82"/>
      <c r="AC350" s="82"/>
      <c r="AD350" s="82"/>
      <c r="AE350" s="1"/>
      <c r="AF350" s="9"/>
      <c r="AG350" s="1"/>
    </row>
    <row r="351" spans="1:33" s="5" customFormat="1" x14ac:dyDescent="0.2">
      <c r="A351" s="136" t="s">
        <v>269</v>
      </c>
      <c r="B351" s="9" t="s">
        <v>74</v>
      </c>
      <c r="C351" s="159" t="s">
        <v>73</v>
      </c>
      <c r="D351" s="160">
        <v>4000</v>
      </c>
      <c r="E351" s="160">
        <v>4000</v>
      </c>
      <c r="F351" s="161"/>
      <c r="G351" s="137"/>
      <c r="H351" s="178">
        <v>4000</v>
      </c>
      <c r="I351" s="178">
        <v>4000</v>
      </c>
      <c r="J351" s="178">
        <v>4000</v>
      </c>
      <c r="K351" s="178">
        <v>4000</v>
      </c>
      <c r="L351" s="178">
        <v>4500</v>
      </c>
      <c r="M351" s="178">
        <v>3500</v>
      </c>
      <c r="N351" s="9">
        <v>3500</v>
      </c>
      <c r="O351" s="9"/>
      <c r="P351" s="62">
        <v>100</v>
      </c>
      <c r="Q351" s="62">
        <v>100</v>
      </c>
      <c r="R351" s="62">
        <v>100</v>
      </c>
      <c r="S351" s="62">
        <v>100</v>
      </c>
      <c r="T351" s="62">
        <v>112.5</v>
      </c>
      <c r="U351" s="62">
        <v>87.5</v>
      </c>
      <c r="V351" s="82"/>
      <c r="W351" s="82"/>
      <c r="X351" s="82"/>
      <c r="Y351" s="82"/>
      <c r="Z351" s="82"/>
      <c r="AA351" s="82"/>
      <c r="AB351" s="82"/>
      <c r="AC351" s="82"/>
      <c r="AD351" s="82"/>
      <c r="AE351" s="1"/>
      <c r="AF351" s="9"/>
      <c r="AG351" s="1"/>
    </row>
    <row r="352" spans="1:33" s="5" customFormat="1" ht="6" customHeight="1" x14ac:dyDescent="0.2">
      <c r="A352" s="136" t="s">
        <v>269</v>
      </c>
      <c r="B352" s="9"/>
      <c r="C352" s="159"/>
      <c r="D352" s="163"/>
      <c r="E352" s="163"/>
      <c r="F352" s="164"/>
      <c r="G352" s="8"/>
      <c r="H352" s="177"/>
      <c r="I352" s="177"/>
      <c r="J352" s="177"/>
      <c r="K352" s="177"/>
      <c r="L352" s="177"/>
      <c r="M352" s="177"/>
      <c r="N352" s="1"/>
      <c r="O352" s="1"/>
      <c r="P352" s="62"/>
      <c r="Q352" s="62"/>
      <c r="R352" s="62"/>
      <c r="S352" s="62"/>
      <c r="T352" s="62"/>
      <c r="U352" s="62"/>
      <c r="V352" s="26"/>
      <c r="W352" s="26"/>
      <c r="X352" s="26"/>
      <c r="Y352" s="26"/>
      <c r="Z352" s="26"/>
      <c r="AA352" s="26"/>
      <c r="AB352" s="26"/>
      <c r="AC352" s="26"/>
      <c r="AD352" s="26"/>
      <c r="AE352" s="1"/>
      <c r="AF352" s="9"/>
      <c r="AG352" s="1"/>
    </row>
    <row r="353" spans="1:33" s="5" customFormat="1" ht="11.25" customHeight="1" x14ac:dyDescent="0.2">
      <c r="A353" s="136" t="s">
        <v>269</v>
      </c>
      <c r="B353" s="151" t="s">
        <v>62</v>
      </c>
      <c r="C353" s="165"/>
      <c r="D353" s="166"/>
      <c r="E353" s="166"/>
      <c r="F353" s="167"/>
      <c r="G353" s="1"/>
      <c r="H353" s="166"/>
      <c r="I353" s="166"/>
      <c r="J353" s="166"/>
      <c r="K353" s="166"/>
      <c r="L353" s="166"/>
      <c r="M353" s="166"/>
      <c r="N353" s="1"/>
      <c r="O353" s="1"/>
      <c r="P353" s="154"/>
      <c r="Q353" s="154"/>
      <c r="R353" s="154"/>
      <c r="S353" s="154"/>
      <c r="T353" s="154"/>
      <c r="U353" s="154"/>
      <c r="V353" s="76"/>
      <c r="W353" s="76"/>
      <c r="X353" s="76"/>
      <c r="Y353" s="76"/>
      <c r="Z353" s="76"/>
      <c r="AA353" s="76"/>
      <c r="AB353" s="76"/>
      <c r="AC353" s="76"/>
      <c r="AD353" s="76"/>
      <c r="AE353" s="1"/>
      <c r="AF353" s="9"/>
      <c r="AG353" s="1"/>
    </row>
    <row r="354" spans="1:33" s="5" customFormat="1" ht="11.25" customHeight="1" x14ac:dyDescent="0.2">
      <c r="A354" s="136" t="s">
        <v>269</v>
      </c>
      <c r="B354" s="151" t="s">
        <v>61</v>
      </c>
      <c r="C354" s="168" t="s">
        <v>35</v>
      </c>
      <c r="D354" s="169">
        <v>4330.4421458035649</v>
      </c>
      <c r="E354" s="169">
        <v>4602.2461878877257</v>
      </c>
      <c r="F354" s="170">
        <v>106.27658869308654</v>
      </c>
      <c r="G354" s="8"/>
      <c r="H354" s="169">
        <v>4981.6143971117071</v>
      </c>
      <c r="I354" s="169">
        <v>4743.7397105930213</v>
      </c>
      <c r="J354" s="169">
        <v>4602.2461878877257</v>
      </c>
      <c r="K354" s="169">
        <v>4451.3254993745541</v>
      </c>
      <c r="L354" s="169">
        <v>4670.3302591694319</v>
      </c>
      <c r="M354" s="169">
        <v>4534.1621166060177</v>
      </c>
      <c r="N354" s="1" t="e">
        <v>#N/A</v>
      </c>
      <c r="O354" s="9"/>
      <c r="P354" s="155">
        <v>108.24310985845149</v>
      </c>
      <c r="Q354" s="155">
        <v>103.07444488905615</v>
      </c>
      <c r="R354" s="155">
        <v>100</v>
      </c>
      <c r="S354" s="155">
        <v>96.720716746740592</v>
      </c>
      <c r="T354" s="155">
        <v>101.47936612910651</v>
      </c>
      <c r="U354" s="155">
        <v>98.520633870893462</v>
      </c>
      <c r="V354" s="8"/>
      <c r="W354" s="8"/>
      <c r="X354" s="8"/>
      <c r="Y354" s="8"/>
      <c r="Z354" s="8"/>
      <c r="AA354" s="8"/>
      <c r="AB354" s="8"/>
      <c r="AC354" s="8"/>
      <c r="AD354" s="8"/>
      <c r="AE354" s="9"/>
      <c r="AF354" s="9"/>
      <c r="AG354" s="1"/>
    </row>
    <row r="355" spans="1:33" s="5" customFormat="1" ht="11.25" customHeight="1" x14ac:dyDescent="0.2">
      <c r="A355" s="136" t="s">
        <v>269</v>
      </c>
      <c r="B355" s="152" t="s">
        <v>60</v>
      </c>
      <c r="C355" s="165" t="s">
        <v>35</v>
      </c>
      <c r="D355" s="171">
        <v>0</v>
      </c>
      <c r="E355" s="171">
        <v>0</v>
      </c>
      <c r="F355" s="172"/>
      <c r="G355" s="8"/>
      <c r="H355" s="171">
        <v>0</v>
      </c>
      <c r="I355" s="171">
        <v>0</v>
      </c>
      <c r="J355" s="171">
        <v>0</v>
      </c>
      <c r="K355" s="171">
        <v>0</v>
      </c>
      <c r="L355" s="171">
        <v>0</v>
      </c>
      <c r="M355" s="171">
        <v>0</v>
      </c>
      <c r="N355" s="1" t="e">
        <v>#N/A</v>
      </c>
      <c r="O355" s="1"/>
      <c r="P355" s="156"/>
      <c r="Q355" s="156"/>
      <c r="R355" s="156"/>
      <c r="S355" s="156"/>
      <c r="T355" s="156"/>
      <c r="U355" s="156"/>
      <c r="V355" s="4"/>
      <c r="W355" s="4"/>
      <c r="X355" s="4"/>
      <c r="Y355" s="4"/>
      <c r="Z355" s="4"/>
      <c r="AA355" s="4"/>
      <c r="AB355" s="4"/>
      <c r="AC355" s="4"/>
      <c r="AD355" s="4"/>
      <c r="AE355" s="1"/>
      <c r="AF355" s="1"/>
      <c r="AG355" s="1"/>
    </row>
    <row r="356" spans="1:33" s="5" customFormat="1" ht="11.25" customHeight="1" x14ac:dyDescent="0.2">
      <c r="A356" s="136" t="s">
        <v>269</v>
      </c>
      <c r="B356" s="152" t="s">
        <v>59</v>
      </c>
      <c r="C356" s="165" t="s">
        <v>35</v>
      </c>
      <c r="D356" s="171">
        <v>302.70990051331523</v>
      </c>
      <c r="E356" s="171">
        <v>344.8227940995489</v>
      </c>
      <c r="F356" s="172">
        <v>113.91196439720717</v>
      </c>
      <c r="G356" s="8"/>
      <c r="H356" s="171">
        <v>394.52841643618603</v>
      </c>
      <c r="I356" s="171">
        <v>374.87622258054859</v>
      </c>
      <c r="J356" s="171">
        <v>344.8227940995489</v>
      </c>
      <c r="K356" s="171">
        <v>307.03727726753942</v>
      </c>
      <c r="L356" s="171">
        <v>344.8227940995489</v>
      </c>
      <c r="M356" s="171">
        <v>344.8227940995489</v>
      </c>
      <c r="N356" s="1" t="e">
        <v>#N/A</v>
      </c>
      <c r="O356" s="1"/>
      <c r="P356" s="156">
        <v>114.41483080213291</v>
      </c>
      <c r="Q356" s="156">
        <v>108.71561538136699</v>
      </c>
      <c r="R356" s="156">
        <v>100</v>
      </c>
      <c r="S356" s="156">
        <v>89.042047834836296</v>
      </c>
      <c r="T356" s="156">
        <v>100</v>
      </c>
      <c r="U356" s="156">
        <v>100</v>
      </c>
      <c r="V356" s="4"/>
      <c r="W356" s="4"/>
      <c r="X356" s="4"/>
      <c r="Y356" s="4"/>
      <c r="Z356" s="4"/>
      <c r="AA356" s="4"/>
      <c r="AB356" s="4"/>
      <c r="AC356" s="4"/>
      <c r="AD356" s="4"/>
      <c r="AE356" s="1"/>
      <c r="AF356" s="1"/>
      <c r="AG356" s="1"/>
    </row>
    <row r="357" spans="1:33" s="5" customFormat="1" ht="11.25" customHeight="1" x14ac:dyDescent="0.2">
      <c r="A357" s="136" t="s">
        <v>269</v>
      </c>
      <c r="B357" s="152" t="s">
        <v>58</v>
      </c>
      <c r="C357" s="165" t="s">
        <v>35</v>
      </c>
      <c r="D357" s="171">
        <v>935.74618439999995</v>
      </c>
      <c r="E357" s="171">
        <v>1067.1515094000001</v>
      </c>
      <c r="F357" s="172">
        <v>114.04283845242256</v>
      </c>
      <c r="G357" s="8"/>
      <c r="H357" s="171">
        <v>1067.1515094000001</v>
      </c>
      <c r="I357" s="171">
        <v>1067.1515094000001</v>
      </c>
      <c r="J357" s="171">
        <v>1067.1515094000001</v>
      </c>
      <c r="K357" s="171">
        <v>1067.1515094000001</v>
      </c>
      <c r="L357" s="171">
        <v>1067.1515094000001</v>
      </c>
      <c r="M357" s="171">
        <v>1067.1515094000001</v>
      </c>
      <c r="N357" s="1" t="e">
        <v>#N/A</v>
      </c>
      <c r="O357" s="1"/>
      <c r="P357" s="156">
        <v>100</v>
      </c>
      <c r="Q357" s="156">
        <v>100</v>
      </c>
      <c r="R357" s="156">
        <v>100</v>
      </c>
      <c r="S357" s="156">
        <v>100</v>
      </c>
      <c r="T357" s="156">
        <v>100</v>
      </c>
      <c r="U357" s="156">
        <v>100</v>
      </c>
      <c r="V357" s="4"/>
      <c r="W357" s="4"/>
      <c r="X357" s="4"/>
      <c r="Y357" s="4"/>
      <c r="Z357" s="4"/>
      <c r="AA357" s="4"/>
      <c r="AB357" s="4"/>
      <c r="AC357" s="4"/>
      <c r="AD357" s="4"/>
      <c r="AE357" s="1"/>
      <c r="AF357" s="1"/>
      <c r="AG357" s="1"/>
    </row>
    <row r="358" spans="1:33" s="5" customFormat="1" ht="11.25" customHeight="1" x14ac:dyDescent="0.2">
      <c r="A358" s="136" t="s">
        <v>269</v>
      </c>
      <c r="B358" s="152" t="s">
        <v>57</v>
      </c>
      <c r="C358" s="165" t="s">
        <v>35</v>
      </c>
      <c r="D358" s="171">
        <v>1063.8061154827028</v>
      </c>
      <c r="E358" s="171">
        <v>1191.4612651613088</v>
      </c>
      <c r="F358" s="172">
        <v>111.99985108383048</v>
      </c>
      <c r="G358" s="8"/>
      <c r="H358" s="171">
        <v>1427.3501123179767</v>
      </c>
      <c r="I358" s="171">
        <v>1270.0908808801983</v>
      </c>
      <c r="J358" s="171">
        <v>1191.4612651613088</v>
      </c>
      <c r="K358" s="171">
        <v>1112.8316494424196</v>
      </c>
      <c r="L358" s="171">
        <v>1251.9356056227221</v>
      </c>
      <c r="M358" s="171">
        <v>1130.9869246998956</v>
      </c>
      <c r="N358" s="1" t="e">
        <v>#N/A</v>
      </c>
      <c r="O358" s="1"/>
      <c r="P358" s="156">
        <v>119.79828082155333</v>
      </c>
      <c r="Q358" s="156">
        <v>106.59942694051779</v>
      </c>
      <c r="R358" s="156">
        <v>100</v>
      </c>
      <c r="S358" s="156">
        <v>93.400573059482241</v>
      </c>
      <c r="T358" s="156">
        <v>105.07564469191752</v>
      </c>
      <c r="U358" s="156">
        <v>94.924355308082482</v>
      </c>
      <c r="V358" s="4"/>
      <c r="W358" s="4"/>
      <c r="X358" s="4"/>
      <c r="Y358" s="4"/>
      <c r="Z358" s="4"/>
      <c r="AA358" s="4"/>
      <c r="AB358" s="4"/>
      <c r="AC358" s="4"/>
      <c r="AD358" s="4"/>
      <c r="AE358" s="1"/>
      <c r="AF358" s="1"/>
      <c r="AG358" s="1"/>
    </row>
    <row r="359" spans="1:33" s="5" customFormat="1" ht="11.25" customHeight="1" x14ac:dyDescent="0.2">
      <c r="A359" s="136" t="s">
        <v>269</v>
      </c>
      <c r="B359" s="152" t="s">
        <v>56</v>
      </c>
      <c r="C359" s="165" t="s">
        <v>35</v>
      </c>
      <c r="D359" s="171">
        <v>380.57668579234968</v>
      </c>
      <c r="E359" s="171">
        <v>380.57668579234968</v>
      </c>
      <c r="F359" s="172">
        <v>100</v>
      </c>
      <c r="G359" s="8"/>
      <c r="H359" s="171">
        <v>380.57668579234968</v>
      </c>
      <c r="I359" s="171">
        <v>380.57668579234974</v>
      </c>
      <c r="J359" s="171">
        <v>380.57668579234968</v>
      </c>
      <c r="K359" s="171">
        <v>377.41703779234967</v>
      </c>
      <c r="L359" s="171">
        <v>380.57668579234968</v>
      </c>
      <c r="M359" s="171">
        <v>380.57668579234968</v>
      </c>
      <c r="N359" s="1" t="e">
        <v>#N/A</v>
      </c>
      <c r="O359" s="1"/>
      <c r="P359" s="156">
        <v>100</v>
      </c>
      <c r="Q359" s="156">
        <v>100.00000000000003</v>
      </c>
      <c r="R359" s="156">
        <v>100</v>
      </c>
      <c r="S359" s="156">
        <v>99.169773630924936</v>
      </c>
      <c r="T359" s="156">
        <v>100</v>
      </c>
      <c r="U359" s="156">
        <v>100</v>
      </c>
      <c r="V359" s="4"/>
      <c r="W359" s="4"/>
      <c r="X359" s="4"/>
      <c r="Y359" s="4"/>
      <c r="Z359" s="4"/>
      <c r="AA359" s="4"/>
      <c r="AB359" s="4"/>
      <c r="AC359" s="4"/>
      <c r="AD359" s="4"/>
      <c r="AE359" s="1"/>
      <c r="AF359" s="1"/>
      <c r="AG359" s="1"/>
    </row>
    <row r="360" spans="1:33" s="5" customFormat="1" ht="11.25" customHeight="1" x14ac:dyDescent="0.2">
      <c r="A360" s="136" t="s">
        <v>269</v>
      </c>
      <c r="B360" s="152" t="s">
        <v>55</v>
      </c>
      <c r="C360" s="165" t="s">
        <v>35</v>
      </c>
      <c r="D360" s="171">
        <v>1302.0144312661612</v>
      </c>
      <c r="E360" s="171">
        <v>1239.5200688555221</v>
      </c>
      <c r="F360" s="172">
        <v>95.200178975753317</v>
      </c>
      <c r="G360" s="8"/>
      <c r="H360" s="171">
        <v>1310.0044788843993</v>
      </c>
      <c r="I360" s="171">
        <v>1264.2647474485364</v>
      </c>
      <c r="J360" s="171">
        <v>1239.5200688555221</v>
      </c>
      <c r="K360" s="171">
        <v>1216.3533305160749</v>
      </c>
      <c r="L360" s="171">
        <v>1239.5200688555221</v>
      </c>
      <c r="M360" s="171">
        <v>1239.5200688555221</v>
      </c>
      <c r="N360" s="1" t="e">
        <v>#N/A</v>
      </c>
      <c r="O360" s="1"/>
      <c r="P360" s="156">
        <v>105.68642749721326</v>
      </c>
      <c r="Q360" s="156">
        <v>101.9963112510039</v>
      </c>
      <c r="R360" s="156">
        <v>100</v>
      </c>
      <c r="S360" s="156">
        <v>98.130991266576459</v>
      </c>
      <c r="T360" s="156">
        <v>100</v>
      </c>
      <c r="U360" s="156">
        <v>100</v>
      </c>
      <c r="V360" s="4"/>
      <c r="W360" s="4"/>
      <c r="X360" s="4"/>
      <c r="Y360" s="4"/>
      <c r="Z360" s="4"/>
      <c r="AA360" s="4"/>
      <c r="AB360" s="4"/>
      <c r="AC360" s="4"/>
      <c r="AD360" s="4"/>
      <c r="AE360" s="1"/>
      <c r="AF360" s="1"/>
      <c r="AG360" s="1"/>
    </row>
    <row r="361" spans="1:33" s="5" customFormat="1" ht="11.25" customHeight="1" x14ac:dyDescent="0.2">
      <c r="A361" s="136" t="s">
        <v>269</v>
      </c>
      <c r="B361" s="152" t="s">
        <v>26</v>
      </c>
      <c r="C361" s="165" t="s">
        <v>35</v>
      </c>
      <c r="D361" s="171">
        <v>1455.701120218579</v>
      </c>
      <c r="E361" s="171">
        <v>1537.8423280183902</v>
      </c>
      <c r="F361" s="172">
        <v>105.64272477769869</v>
      </c>
      <c r="G361" s="8"/>
      <c r="H361" s="171">
        <v>1537.8423280183902</v>
      </c>
      <c r="I361" s="171">
        <v>1537.8423280183902</v>
      </c>
      <c r="J361" s="171">
        <v>1537.8423280183902</v>
      </c>
      <c r="K361" s="171">
        <v>1537.8423280183902</v>
      </c>
      <c r="L361" s="171">
        <v>1603.5586848792516</v>
      </c>
      <c r="M361" s="171">
        <v>1472.1259711575292</v>
      </c>
      <c r="N361" s="1" t="e">
        <v>#N/A</v>
      </c>
      <c r="O361" s="1"/>
      <c r="P361" s="156">
        <v>100</v>
      </c>
      <c r="Q361" s="156">
        <v>100</v>
      </c>
      <c r="R361" s="156">
        <v>100</v>
      </c>
      <c r="S361" s="156">
        <v>100</v>
      </c>
      <c r="T361" s="156">
        <v>104.2732831359598</v>
      </c>
      <c r="U361" s="156">
        <v>95.726716864040228</v>
      </c>
      <c r="V361" s="4"/>
      <c r="W361" s="4"/>
      <c r="X361" s="4"/>
      <c r="Y361" s="4"/>
      <c r="Z361" s="4"/>
      <c r="AA361" s="4"/>
      <c r="AB361" s="4"/>
      <c r="AC361" s="4"/>
      <c r="AD361" s="4"/>
      <c r="AE361" s="1"/>
      <c r="AF361" s="1"/>
      <c r="AG361" s="1"/>
    </row>
    <row r="362" spans="1:33" s="5" customFormat="1" ht="11.25" customHeight="1" x14ac:dyDescent="0.2">
      <c r="A362" s="136" t="s">
        <v>269</v>
      </c>
      <c r="B362" s="151" t="s">
        <v>54</v>
      </c>
      <c r="C362" s="168" t="s">
        <v>35</v>
      </c>
      <c r="D362" s="169">
        <v>3319.9338531467547</v>
      </c>
      <c r="E362" s="169">
        <v>3710.2995322951519</v>
      </c>
      <c r="F362" s="170">
        <v>111.75823665216686</v>
      </c>
      <c r="G362" s="8"/>
      <c r="H362" s="169">
        <v>3865.170215162655</v>
      </c>
      <c r="I362" s="169">
        <v>3763.0889632577837</v>
      </c>
      <c r="J362" s="169">
        <v>3710.2995322951519</v>
      </c>
      <c r="K362" s="169">
        <v>3658.7770312461694</v>
      </c>
      <c r="L362" s="169">
        <v>3961.8494337765296</v>
      </c>
      <c r="M362" s="169">
        <v>3458.7496308137738</v>
      </c>
      <c r="N362" s="1" t="e">
        <v>#N/A</v>
      </c>
      <c r="O362" s="9"/>
      <c r="P362" s="155">
        <v>104.17407493706314</v>
      </c>
      <c r="Q362" s="155">
        <v>101.42278084297891</v>
      </c>
      <c r="R362" s="155">
        <v>100</v>
      </c>
      <c r="S362" s="155">
        <v>98.611365454445902</v>
      </c>
      <c r="T362" s="155">
        <v>106.77977341968861</v>
      </c>
      <c r="U362" s="155">
        <v>93.220226580311376</v>
      </c>
      <c r="V362" s="8"/>
      <c r="W362" s="8"/>
      <c r="X362" s="8"/>
      <c r="Y362" s="8"/>
      <c r="Z362" s="8"/>
      <c r="AA362" s="8"/>
      <c r="AB362" s="8"/>
      <c r="AC362" s="8"/>
      <c r="AD362" s="8"/>
      <c r="AE362" s="1"/>
      <c r="AF362" s="9"/>
      <c r="AG362" s="1"/>
    </row>
    <row r="363" spans="1:33" s="5" customFormat="1" ht="11.25" customHeight="1" x14ac:dyDescent="0.2">
      <c r="A363" s="136" t="s">
        <v>269</v>
      </c>
      <c r="B363" s="152" t="s">
        <v>53</v>
      </c>
      <c r="C363" s="165" t="s">
        <v>35</v>
      </c>
      <c r="D363" s="171">
        <v>1400.3405765124103</v>
      </c>
      <c r="E363" s="171">
        <v>1534.6570511508933</v>
      </c>
      <c r="F363" s="172">
        <v>109.59170053995022</v>
      </c>
      <c r="G363" s="8"/>
      <c r="H363" s="171">
        <v>1613.2826959335712</v>
      </c>
      <c r="I363" s="171">
        <v>1561.3767179330603</v>
      </c>
      <c r="J363" s="171">
        <v>1534.6570511508933</v>
      </c>
      <c r="K363" s="171">
        <v>1508.5767741520133</v>
      </c>
      <c r="L363" s="171">
        <v>1652.5475693885144</v>
      </c>
      <c r="M363" s="171">
        <v>1416.7665329132719</v>
      </c>
      <c r="N363" s="1" t="e">
        <v>#N/A</v>
      </c>
      <c r="O363" s="1"/>
      <c r="P363" s="156">
        <v>105.12333649551955</v>
      </c>
      <c r="Q363" s="156">
        <v>101.7410838963747</v>
      </c>
      <c r="R363" s="156">
        <v>100</v>
      </c>
      <c r="S363" s="156">
        <v>98.300579469574558</v>
      </c>
      <c r="T363" s="156">
        <v>107.68188033601453</v>
      </c>
      <c r="U363" s="156">
        <v>92.318119663985442</v>
      </c>
      <c r="V363" s="4"/>
      <c r="W363" s="4"/>
      <c r="X363" s="4"/>
      <c r="Y363" s="4"/>
      <c r="Z363" s="4"/>
      <c r="AA363" s="4"/>
      <c r="AB363" s="4"/>
      <c r="AC363" s="4"/>
      <c r="AD363" s="4"/>
      <c r="AE363" s="1"/>
      <c r="AF363" s="1"/>
      <c r="AG363" s="1"/>
    </row>
    <row r="364" spans="1:33" s="5" customFormat="1" ht="11.25" customHeight="1" x14ac:dyDescent="0.25">
      <c r="A364" s="136" t="s">
        <v>269</v>
      </c>
      <c r="B364" s="151" t="s">
        <v>52</v>
      </c>
      <c r="C364" s="168" t="s">
        <v>35</v>
      </c>
      <c r="D364" s="169">
        <v>9106.0771191688982</v>
      </c>
      <c r="E364" s="169">
        <v>9850.3880482012682</v>
      </c>
      <c r="F364" s="170">
        <v>108.17378240148598</v>
      </c>
      <c r="G364" s="8"/>
      <c r="H364" s="169">
        <v>10384.626940292752</v>
      </c>
      <c r="I364" s="169">
        <v>10044.671001869196</v>
      </c>
      <c r="J364" s="169">
        <v>9850.3880482012682</v>
      </c>
      <c r="K364" s="169">
        <v>9647.9448586391136</v>
      </c>
      <c r="L364" s="169">
        <v>10235.738377825213</v>
      </c>
      <c r="M364" s="169">
        <v>9465.0377185773214</v>
      </c>
      <c r="N364" s="1" t="e">
        <v>#N/A</v>
      </c>
      <c r="O364" s="9"/>
      <c r="P364" s="155">
        <v>105.4235314332519</v>
      </c>
      <c r="Q364" s="155">
        <v>101.9723380715281</v>
      </c>
      <c r="R364" s="155">
        <v>100</v>
      </c>
      <c r="S364" s="155">
        <v>97.944820157626964</v>
      </c>
      <c r="T364" s="155">
        <v>103.91203197009393</v>
      </c>
      <c r="U364" s="155">
        <v>96.087968029906051</v>
      </c>
      <c r="V364" s="8"/>
      <c r="W364" s="8"/>
      <c r="X364" s="339" t="s">
        <v>233</v>
      </c>
      <c r="Y364" s="340"/>
      <c r="Z364" s="340"/>
      <c r="AA364" s="340"/>
      <c r="AB364" s="340"/>
      <c r="AC364" s="340"/>
      <c r="AD364" s="340"/>
      <c r="AE364" s="340"/>
      <c r="AF364" s="340"/>
      <c r="AG364" s="1"/>
    </row>
    <row r="365" spans="1:33" s="5" customFormat="1" ht="11.25" customHeight="1" x14ac:dyDescent="0.25">
      <c r="A365" s="136" t="s">
        <v>269</v>
      </c>
      <c r="B365" s="152" t="s">
        <v>5</v>
      </c>
      <c r="C365" s="165" t="s">
        <v>35</v>
      </c>
      <c r="D365" s="171">
        <v>0</v>
      </c>
      <c r="E365" s="171">
        <v>0</v>
      </c>
      <c r="F365" s="172"/>
      <c r="G365" s="8"/>
      <c r="H365" s="171">
        <v>0</v>
      </c>
      <c r="I365" s="171">
        <v>0</v>
      </c>
      <c r="J365" s="171">
        <v>0</v>
      </c>
      <c r="K365" s="171">
        <v>0</v>
      </c>
      <c r="L365" s="171">
        <v>0</v>
      </c>
      <c r="M365" s="171">
        <v>0</v>
      </c>
      <c r="N365" s="1" t="e">
        <v>#N/A</v>
      </c>
      <c r="O365" s="1"/>
      <c r="P365" s="156"/>
      <c r="Q365" s="156"/>
      <c r="R365" s="156"/>
      <c r="S365" s="156"/>
      <c r="T365" s="156"/>
      <c r="U365" s="156"/>
      <c r="V365" s="4"/>
      <c r="W365" s="4"/>
      <c r="X365" s="192" t="s">
        <v>260</v>
      </c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s="5" customFormat="1" ht="11.25" customHeight="1" x14ac:dyDescent="0.2">
      <c r="A366" s="136" t="s">
        <v>269</v>
      </c>
      <c r="B366" s="152" t="s">
        <v>51</v>
      </c>
      <c r="C366" s="165" t="s">
        <v>35</v>
      </c>
      <c r="D366" s="171">
        <v>9106.0771191688982</v>
      </c>
      <c r="E366" s="171">
        <v>9850.3880482012682</v>
      </c>
      <c r="F366" s="172">
        <v>108.17378240148598</v>
      </c>
      <c r="G366" s="8"/>
      <c r="H366" s="171">
        <v>10384.626940292752</v>
      </c>
      <c r="I366" s="171">
        <v>10044.671001869196</v>
      </c>
      <c r="J366" s="171">
        <v>9850.3880482012682</v>
      </c>
      <c r="K366" s="171">
        <v>9647.9448586391136</v>
      </c>
      <c r="L366" s="171">
        <v>10235.738377825213</v>
      </c>
      <c r="M366" s="171">
        <v>9465.0377185773214</v>
      </c>
      <c r="N366" s="1" t="e">
        <v>#N/A</v>
      </c>
      <c r="O366" s="1"/>
      <c r="P366" s="156">
        <v>105.4235314332519</v>
      </c>
      <c r="Q366" s="156">
        <v>101.9723380715281</v>
      </c>
      <c r="R366" s="156">
        <v>100</v>
      </c>
      <c r="S366" s="156">
        <v>97.944820157626964</v>
      </c>
      <c r="T366" s="156">
        <v>103.91203197009393</v>
      </c>
      <c r="U366" s="156">
        <v>96.087968029906051</v>
      </c>
      <c r="V366" s="4"/>
      <c r="W366" s="4"/>
      <c r="X366" s="4"/>
      <c r="Y366" s="4"/>
      <c r="Z366" s="4"/>
      <c r="AA366" s="4"/>
      <c r="AB366" s="4"/>
      <c r="AC366" s="4"/>
      <c r="AD366" s="4"/>
      <c r="AE366" s="1"/>
      <c r="AF366" s="1"/>
      <c r="AG366" s="1"/>
    </row>
    <row r="367" spans="1:33" s="5" customFormat="1" ht="11.25" customHeight="1" x14ac:dyDescent="0.2">
      <c r="A367" s="136" t="s">
        <v>269</v>
      </c>
      <c r="B367" s="152" t="s">
        <v>50</v>
      </c>
      <c r="C367" s="165" t="s">
        <v>35</v>
      </c>
      <c r="D367" s="171">
        <v>222.71061304379387</v>
      </c>
      <c r="E367" s="171">
        <v>202.77999999999994</v>
      </c>
      <c r="F367" s="172">
        <v>91.05089210998905</v>
      </c>
      <c r="G367" s="8"/>
      <c r="H367" s="171">
        <v>202.77999999999994</v>
      </c>
      <c r="I367" s="171">
        <v>202.77999999999994</v>
      </c>
      <c r="J367" s="171">
        <v>202.77999999999994</v>
      </c>
      <c r="K367" s="171">
        <v>202.77999999999994</v>
      </c>
      <c r="L367" s="171">
        <v>202.77999999999994</v>
      </c>
      <c r="M367" s="171">
        <v>202.77999999999994</v>
      </c>
      <c r="N367" s="1" t="e">
        <v>#N/A</v>
      </c>
      <c r="O367" s="1"/>
      <c r="P367" s="156">
        <v>100</v>
      </c>
      <c r="Q367" s="156">
        <v>100</v>
      </c>
      <c r="R367" s="156">
        <v>100</v>
      </c>
      <c r="S367" s="156">
        <v>100</v>
      </c>
      <c r="T367" s="156">
        <v>100</v>
      </c>
      <c r="U367" s="156">
        <v>100</v>
      </c>
      <c r="V367" s="4"/>
      <c r="W367" s="4"/>
      <c r="X367" s="4"/>
      <c r="Y367" s="4"/>
      <c r="Z367" s="4"/>
      <c r="AA367" s="4"/>
      <c r="AB367" s="4"/>
      <c r="AC367" s="4"/>
      <c r="AD367" s="4"/>
      <c r="AE367" s="1"/>
      <c r="AF367" s="1"/>
      <c r="AG367" s="1"/>
    </row>
    <row r="368" spans="1:33" s="5" customFormat="1" ht="11.25" customHeight="1" x14ac:dyDescent="0.2">
      <c r="A368" s="136" t="s">
        <v>269</v>
      </c>
      <c r="B368" s="151" t="s">
        <v>49</v>
      </c>
      <c r="C368" s="168" t="s">
        <v>35</v>
      </c>
      <c r="D368" s="169">
        <v>8883.3665061251049</v>
      </c>
      <c r="E368" s="169">
        <v>9647.6080482012676</v>
      </c>
      <c r="F368" s="170">
        <v>108.60306215610058</v>
      </c>
      <c r="G368" s="8"/>
      <c r="H368" s="169">
        <v>10181.846940292751</v>
      </c>
      <c r="I368" s="169">
        <v>9841.891001869195</v>
      </c>
      <c r="J368" s="169">
        <v>9647.6080482012676</v>
      </c>
      <c r="K368" s="169">
        <v>9445.1648586391129</v>
      </c>
      <c r="L368" s="169">
        <v>10032.958377825213</v>
      </c>
      <c r="M368" s="169">
        <v>9262.2577185773207</v>
      </c>
      <c r="N368" s="9" t="e">
        <v>#N/A</v>
      </c>
      <c r="O368" s="9"/>
      <c r="P368" s="155">
        <v>105.53752691260181</v>
      </c>
      <c r="Q368" s="155">
        <v>102.01379401709991</v>
      </c>
      <c r="R368" s="155">
        <v>100</v>
      </c>
      <c r="S368" s="155">
        <v>97.901622987265753</v>
      </c>
      <c r="T368" s="155">
        <v>103.99425772376595</v>
      </c>
      <c r="U368" s="155">
        <v>96.005742276234031</v>
      </c>
      <c r="V368" s="4"/>
      <c r="W368" s="4"/>
      <c r="X368" s="4"/>
      <c r="Y368" s="4"/>
      <c r="Z368" s="4"/>
      <c r="AA368" s="4"/>
      <c r="AB368" s="4"/>
      <c r="AC368" s="4"/>
      <c r="AD368" s="4"/>
      <c r="AE368" s="1"/>
      <c r="AF368" s="1"/>
      <c r="AG368" s="1"/>
    </row>
    <row r="369" spans="1:33" s="5" customFormat="1" ht="11.25" customHeight="1" x14ac:dyDescent="0.2">
      <c r="A369" s="136" t="s">
        <v>269</v>
      </c>
      <c r="B369" s="153" t="s">
        <v>48</v>
      </c>
      <c r="C369" s="173" t="s">
        <v>46</v>
      </c>
      <c r="D369" s="174">
        <v>0.98704072290278944</v>
      </c>
      <c r="E369" s="174">
        <v>1.0719564498001408</v>
      </c>
      <c r="F369" s="170">
        <v>108.60306215610056</v>
      </c>
      <c r="G369" s="8"/>
      <c r="H369" s="174">
        <v>0.84848724502439599</v>
      </c>
      <c r="I369" s="174">
        <v>0.98418910018691952</v>
      </c>
      <c r="J369" s="174">
        <v>1.0719564498001408</v>
      </c>
      <c r="K369" s="174">
        <v>1.1806456073298892</v>
      </c>
      <c r="L369" s="174">
        <v>1.1147731530916902</v>
      </c>
      <c r="M369" s="174">
        <v>1.0291397465085912</v>
      </c>
      <c r="N369" s="1" t="e">
        <v>#N/A</v>
      </c>
      <c r="O369" s="16"/>
      <c r="P369" s="157">
        <v>79.153145184451361</v>
      </c>
      <c r="Q369" s="157">
        <v>91.812414615389926</v>
      </c>
      <c r="R369" s="157">
        <v>100</v>
      </c>
      <c r="S369" s="157">
        <v>110.13932586067399</v>
      </c>
      <c r="T369" s="157">
        <v>103.99425772376595</v>
      </c>
      <c r="U369" s="157">
        <v>96.005742276234031</v>
      </c>
      <c r="V369" s="4"/>
      <c r="W369" s="4"/>
      <c r="X369" s="4"/>
      <c r="Y369" s="4"/>
      <c r="Z369" s="4"/>
      <c r="AA369" s="4"/>
      <c r="AB369" s="4"/>
      <c r="AC369" s="4"/>
      <c r="AD369" s="4"/>
      <c r="AE369" s="1"/>
      <c r="AF369" s="1"/>
      <c r="AG369" s="1"/>
    </row>
    <row r="370" spans="1:33" s="5" customFormat="1" ht="11.25" customHeight="1" x14ac:dyDescent="0.2">
      <c r="A370" s="136" t="s">
        <v>269</v>
      </c>
      <c r="B370" s="16" t="s">
        <v>47</v>
      </c>
      <c r="C370" s="175" t="s">
        <v>46</v>
      </c>
      <c r="D370" s="176">
        <v>0.68439999999999979</v>
      </c>
      <c r="E370" s="176">
        <v>0.82</v>
      </c>
      <c r="F370" s="164">
        <v>119.81297486849797</v>
      </c>
      <c r="G370" s="8"/>
      <c r="H370" s="216">
        <v>0.82</v>
      </c>
      <c r="I370" s="216">
        <v>0.82</v>
      </c>
      <c r="J370" s="216">
        <v>0.82</v>
      </c>
      <c r="K370" s="216">
        <v>0.82</v>
      </c>
      <c r="L370" s="216">
        <v>0.82</v>
      </c>
      <c r="M370" s="216">
        <v>0.82</v>
      </c>
      <c r="N370" s="1" t="e">
        <v>#N/A</v>
      </c>
      <c r="O370" s="16"/>
      <c r="P370" s="73">
        <v>100</v>
      </c>
      <c r="Q370" s="73">
        <v>100</v>
      </c>
      <c r="R370" s="73">
        <v>100</v>
      </c>
      <c r="S370" s="73">
        <v>100</v>
      </c>
      <c r="T370" s="73">
        <v>100</v>
      </c>
      <c r="U370" s="73">
        <v>100</v>
      </c>
      <c r="V370" s="4"/>
      <c r="W370" s="4"/>
      <c r="X370" s="4"/>
      <c r="Y370" s="4"/>
      <c r="Z370" s="4"/>
      <c r="AA370" s="4"/>
      <c r="AB370" s="4"/>
      <c r="AC370" s="4"/>
      <c r="AD370" s="4"/>
      <c r="AE370" s="1"/>
      <c r="AF370" s="16"/>
      <c r="AG370" s="1"/>
    </row>
    <row r="371" spans="1:33" s="5" customFormat="1" ht="11.25" customHeight="1" x14ac:dyDescent="0.2">
      <c r="A371" s="136" t="s">
        <v>269</v>
      </c>
      <c r="B371" s="9" t="s">
        <v>45</v>
      </c>
      <c r="C371" s="159" t="s">
        <v>35</v>
      </c>
      <c r="D371" s="163">
        <v>6382.3106130437918</v>
      </c>
      <c r="E371" s="163">
        <v>7582.78</v>
      </c>
      <c r="F371" s="164">
        <v>118.80932251248879</v>
      </c>
      <c r="G371" s="8"/>
      <c r="H371" s="163">
        <v>10042.780000000001</v>
      </c>
      <c r="I371" s="163">
        <v>8402.7800000000007</v>
      </c>
      <c r="J371" s="163">
        <v>7582.78</v>
      </c>
      <c r="K371" s="163">
        <v>6762.78</v>
      </c>
      <c r="L371" s="163">
        <v>7582.78</v>
      </c>
      <c r="M371" s="163">
        <v>7582.78</v>
      </c>
      <c r="N371" s="1" t="e">
        <v>#N/A</v>
      </c>
      <c r="O371" s="9"/>
      <c r="P371" s="8">
        <v>132.44192763076339</v>
      </c>
      <c r="Q371" s="8">
        <v>110.81397587692115</v>
      </c>
      <c r="R371" s="8">
        <v>100</v>
      </c>
      <c r="S371" s="8">
        <v>89.186024123078866</v>
      </c>
      <c r="T371" s="8">
        <v>100</v>
      </c>
      <c r="U371" s="8">
        <v>100</v>
      </c>
      <c r="V371" s="8"/>
      <c r="W371" s="8"/>
      <c r="X371" s="8"/>
      <c r="Y371" s="8"/>
      <c r="Z371" s="8"/>
      <c r="AA371" s="8"/>
      <c r="AB371" s="8"/>
      <c r="AC371" s="8"/>
      <c r="AD371" s="8"/>
      <c r="AE371" s="1"/>
      <c r="AF371" s="9"/>
      <c r="AG371" s="1"/>
    </row>
    <row r="372" spans="1:33" s="5" customFormat="1" ht="11.25" customHeight="1" x14ac:dyDescent="0.2">
      <c r="A372" s="136" t="s">
        <v>269</v>
      </c>
      <c r="B372" s="1" t="s">
        <v>44</v>
      </c>
      <c r="C372" s="162" t="s">
        <v>35</v>
      </c>
      <c r="D372" s="177">
        <v>0</v>
      </c>
      <c r="E372" s="177">
        <v>0</v>
      </c>
      <c r="F372" s="164"/>
      <c r="G372" s="8"/>
      <c r="H372" s="177">
        <v>0</v>
      </c>
      <c r="I372" s="177">
        <v>0</v>
      </c>
      <c r="J372" s="177">
        <v>0</v>
      </c>
      <c r="K372" s="177">
        <v>0</v>
      </c>
      <c r="L372" s="177">
        <v>0</v>
      </c>
      <c r="M372" s="177">
        <v>0</v>
      </c>
      <c r="N372" s="1" t="e">
        <v>#N/A</v>
      </c>
      <c r="O372" s="1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1"/>
      <c r="AF372" s="1"/>
      <c r="AG372" s="1"/>
    </row>
    <row r="373" spans="1:33" s="5" customFormat="1" ht="11.25" customHeight="1" x14ac:dyDescent="0.2">
      <c r="A373" s="136" t="s">
        <v>269</v>
      </c>
      <c r="B373" s="151" t="s">
        <v>43</v>
      </c>
      <c r="C373" s="165"/>
      <c r="D373" s="171"/>
      <c r="E373" s="171"/>
      <c r="F373" s="170"/>
      <c r="G373" s="8"/>
      <c r="H373" s="171"/>
      <c r="I373" s="171"/>
      <c r="J373" s="171"/>
      <c r="K373" s="171"/>
      <c r="L373" s="171"/>
      <c r="M373" s="171"/>
      <c r="N373" s="1"/>
      <c r="O373" s="1"/>
      <c r="P373" s="156"/>
      <c r="Q373" s="156"/>
      <c r="R373" s="156"/>
      <c r="S373" s="156"/>
      <c r="T373" s="156"/>
      <c r="U373" s="156"/>
      <c r="V373" s="4"/>
      <c r="W373" s="4"/>
      <c r="X373" s="4"/>
      <c r="Y373" s="4"/>
      <c r="Z373" s="4"/>
      <c r="AA373" s="4"/>
      <c r="AB373" s="4"/>
      <c r="AC373" s="4"/>
      <c r="AD373" s="4"/>
      <c r="AE373" s="1"/>
      <c r="AF373" s="9"/>
      <c r="AG373" s="1"/>
    </row>
    <row r="374" spans="1:33" s="5" customFormat="1" ht="11.25" customHeight="1" x14ac:dyDescent="0.2">
      <c r="A374" s="136" t="s">
        <v>269</v>
      </c>
      <c r="B374" s="152" t="s">
        <v>42</v>
      </c>
      <c r="C374" s="165" t="s">
        <v>35</v>
      </c>
      <c r="D374" s="171">
        <v>6382.3106130437918</v>
      </c>
      <c r="E374" s="171">
        <v>7582.78</v>
      </c>
      <c r="F374" s="172">
        <v>118.80932251248879</v>
      </c>
      <c r="G374" s="8"/>
      <c r="H374" s="171">
        <v>10042.780000000001</v>
      </c>
      <c r="I374" s="171">
        <v>8402.7800000000007</v>
      </c>
      <c r="J374" s="171">
        <v>7582.78</v>
      </c>
      <c r="K374" s="171">
        <v>6762.78</v>
      </c>
      <c r="L374" s="171">
        <v>7582.78</v>
      </c>
      <c r="M374" s="171">
        <v>7582.78</v>
      </c>
      <c r="N374" s="1" t="e">
        <v>#N/A</v>
      </c>
      <c r="O374" s="1"/>
      <c r="P374" s="156">
        <v>132.44192763076339</v>
      </c>
      <c r="Q374" s="156">
        <v>110.81397587692115</v>
      </c>
      <c r="R374" s="156">
        <v>100</v>
      </c>
      <c r="S374" s="156">
        <v>89.186024123078866</v>
      </c>
      <c r="T374" s="156">
        <v>100</v>
      </c>
      <c r="U374" s="156">
        <v>100</v>
      </c>
      <c r="V374" s="4"/>
      <c r="W374" s="4"/>
      <c r="X374" s="4"/>
      <c r="Y374" s="4"/>
      <c r="Z374" s="4"/>
      <c r="AA374" s="4"/>
      <c r="AB374" s="4"/>
      <c r="AC374" s="4"/>
      <c r="AD374" s="4"/>
      <c r="AE374" s="1"/>
      <c r="AF374" s="1"/>
      <c r="AG374" s="1"/>
    </row>
    <row r="375" spans="1:33" s="5" customFormat="1" ht="11.25" customHeight="1" x14ac:dyDescent="0.2">
      <c r="A375" s="136" t="s">
        <v>269</v>
      </c>
      <c r="B375" s="152" t="s">
        <v>41</v>
      </c>
      <c r="C375" s="165" t="s">
        <v>35</v>
      </c>
      <c r="D375" s="171">
        <v>9106.0771191689</v>
      </c>
      <c r="E375" s="171">
        <v>9850.3880482012682</v>
      </c>
      <c r="F375" s="172">
        <v>108.17378240148597</v>
      </c>
      <c r="G375" s="8"/>
      <c r="H375" s="171">
        <v>10384.62694029275</v>
      </c>
      <c r="I375" s="171">
        <v>10044.671001869197</v>
      </c>
      <c r="J375" s="171">
        <v>9850.3880482012682</v>
      </c>
      <c r="K375" s="171">
        <v>9647.9448586391154</v>
      </c>
      <c r="L375" s="171">
        <v>10235.738377825212</v>
      </c>
      <c r="M375" s="171">
        <v>9465.0377185773214</v>
      </c>
      <c r="N375" s="1" t="e">
        <v>#N/A</v>
      </c>
      <c r="O375" s="1"/>
      <c r="P375" s="156">
        <v>105.42353143325187</v>
      </c>
      <c r="Q375" s="156">
        <v>101.97233807152813</v>
      </c>
      <c r="R375" s="156">
        <v>100</v>
      </c>
      <c r="S375" s="156">
        <v>97.944820157626992</v>
      </c>
      <c r="T375" s="156">
        <v>103.91203197009391</v>
      </c>
      <c r="U375" s="156">
        <v>96.087968029906051</v>
      </c>
      <c r="V375" s="4"/>
      <c r="W375" s="4"/>
      <c r="X375" s="4"/>
      <c r="Y375" s="4"/>
      <c r="Z375" s="4"/>
      <c r="AA375" s="4"/>
      <c r="AB375" s="4"/>
      <c r="AC375" s="4"/>
      <c r="AD375" s="4"/>
      <c r="AE375" s="1"/>
      <c r="AF375" s="1"/>
      <c r="AG375" s="1"/>
    </row>
    <row r="376" spans="1:33" s="5" customFormat="1" ht="11.25" customHeight="1" x14ac:dyDescent="0.2">
      <c r="A376" s="136" t="s">
        <v>269</v>
      </c>
      <c r="B376" s="152" t="s">
        <v>40</v>
      </c>
      <c r="C376" s="165" t="s">
        <v>35</v>
      </c>
      <c r="D376" s="171">
        <v>3659.6199981302939</v>
      </c>
      <c r="E376" s="171">
        <v>3861.7241532507137</v>
      </c>
      <c r="F376" s="172">
        <v>105.52254483317051</v>
      </c>
      <c r="G376" s="8"/>
      <c r="H376" s="171">
        <v>4188.1478974742331</v>
      </c>
      <c r="I376" s="171">
        <v>3984.9680195942215</v>
      </c>
      <c r="J376" s="171">
        <v>3861.7241532507137</v>
      </c>
      <c r="K376" s="171">
        <v>3728.3069509258657</v>
      </c>
      <c r="L376" s="171">
        <v>3924.5563040768802</v>
      </c>
      <c r="M376" s="171">
        <v>3798.8920024245481</v>
      </c>
      <c r="N376" s="1" t="e">
        <v>#N/A</v>
      </c>
      <c r="O376" s="1"/>
      <c r="P376" s="156">
        <v>108.4527980577987</v>
      </c>
      <c r="Q376" s="156">
        <v>103.1914207605886</v>
      </c>
      <c r="R376" s="156">
        <v>100</v>
      </c>
      <c r="S376" s="156">
        <v>96.545138983773853</v>
      </c>
      <c r="T376" s="156">
        <v>101.62704917111378</v>
      </c>
      <c r="U376" s="156">
        <v>98.372950828886246</v>
      </c>
      <c r="V376" s="4"/>
      <c r="W376" s="4"/>
      <c r="X376" s="4"/>
      <c r="Y376" s="4"/>
      <c r="Z376" s="4"/>
      <c r="AA376" s="4"/>
      <c r="AB376" s="4"/>
      <c r="AC376" s="4"/>
      <c r="AD376" s="4"/>
      <c r="AE376" s="1"/>
      <c r="AF376" s="1"/>
      <c r="AG376" s="1"/>
    </row>
    <row r="377" spans="1:33" s="5" customFormat="1" ht="11.25" customHeight="1" x14ac:dyDescent="0.2">
      <c r="A377" s="136" t="s">
        <v>269</v>
      </c>
      <c r="B377" s="152" t="s">
        <v>39</v>
      </c>
      <c r="C377" s="165" t="s">
        <v>35</v>
      </c>
      <c r="D377" s="171">
        <v>1941.6697665412273</v>
      </c>
      <c r="E377" s="171">
        <v>2068.9986770286582</v>
      </c>
      <c r="F377" s="172">
        <v>106.55770165872474</v>
      </c>
      <c r="G377" s="8"/>
      <c r="H377" s="171">
        <v>2109.5407821031986</v>
      </c>
      <c r="I377" s="171">
        <v>2082.9349175906736</v>
      </c>
      <c r="J377" s="171">
        <v>2068.9986770286582</v>
      </c>
      <c r="K377" s="171">
        <v>2055.5802428819093</v>
      </c>
      <c r="L377" s="171">
        <v>2134.7150338895194</v>
      </c>
      <c r="M377" s="171">
        <v>2003.282320167797</v>
      </c>
      <c r="N377" s="1" t="e">
        <v>#N/A</v>
      </c>
      <c r="O377" s="1"/>
      <c r="P377" s="156">
        <v>101.95950367318571</v>
      </c>
      <c r="Q377" s="156">
        <v>100.67357416496901</v>
      </c>
      <c r="R377" s="156">
        <v>100</v>
      </c>
      <c r="S377" s="156">
        <v>99.35145274399018</v>
      </c>
      <c r="T377" s="156">
        <v>103.17623967528284</v>
      </c>
      <c r="U377" s="156">
        <v>96.823760324717171</v>
      </c>
      <c r="V377" s="4"/>
      <c r="W377" s="4"/>
      <c r="X377" s="4"/>
      <c r="Y377" s="4"/>
      <c r="Z377" s="4"/>
      <c r="AA377" s="4"/>
      <c r="AB377" s="4"/>
      <c r="AC377" s="4"/>
      <c r="AD377" s="4"/>
      <c r="AE377" s="1"/>
      <c r="AF377" s="1"/>
      <c r="AG377" s="1"/>
    </row>
    <row r="378" spans="1:33" s="5" customFormat="1" ht="11.25" customHeight="1" x14ac:dyDescent="0.2">
      <c r="A378" s="136" t="s">
        <v>269</v>
      </c>
      <c r="B378" s="151" t="s">
        <v>38</v>
      </c>
      <c r="C378" s="168" t="s">
        <v>35</v>
      </c>
      <c r="D378" s="169">
        <v>3504.7873544973781</v>
      </c>
      <c r="E378" s="169">
        <v>3919.6652179218959</v>
      </c>
      <c r="F378" s="170">
        <v>111.83746177616574</v>
      </c>
      <c r="G378" s="8"/>
      <c r="H378" s="169">
        <v>4086.9382607153184</v>
      </c>
      <c r="I378" s="169">
        <v>3976.7680646843019</v>
      </c>
      <c r="J378" s="169">
        <v>3919.6652179218959</v>
      </c>
      <c r="K378" s="169">
        <v>3864.0576648313404</v>
      </c>
      <c r="L378" s="169">
        <v>4176.4670398588114</v>
      </c>
      <c r="M378" s="169">
        <v>3662.8633959849763</v>
      </c>
      <c r="N378" s="1" t="e">
        <v>#N/A</v>
      </c>
      <c r="O378" s="9"/>
      <c r="P378" s="155">
        <v>104.26753392173902</v>
      </c>
      <c r="Q378" s="155">
        <v>101.45682969303896</v>
      </c>
      <c r="R378" s="155">
        <v>100</v>
      </c>
      <c r="S378" s="155">
        <v>98.581318811711242</v>
      </c>
      <c r="T378" s="155">
        <v>106.55162641857115</v>
      </c>
      <c r="U378" s="155">
        <v>93.44837358142874</v>
      </c>
      <c r="V378" s="8"/>
      <c r="W378" s="8"/>
      <c r="X378" s="8"/>
      <c r="Y378" s="8"/>
      <c r="Z378" s="8"/>
      <c r="AA378" s="8"/>
      <c r="AB378" s="8"/>
      <c r="AC378" s="8"/>
      <c r="AD378" s="8"/>
      <c r="AE378" s="1"/>
      <c r="AF378" s="9"/>
      <c r="AG378" s="1"/>
    </row>
    <row r="379" spans="1:33" s="5" customFormat="1" ht="11.25" customHeight="1" x14ac:dyDescent="0.2">
      <c r="A379" s="136" t="s">
        <v>269</v>
      </c>
      <c r="B379" s="152" t="s">
        <v>37</v>
      </c>
      <c r="C379" s="165" t="s">
        <v>35</v>
      </c>
      <c r="D379" s="171">
        <v>2722.6906149134979</v>
      </c>
      <c r="E379" s="171">
        <v>3721.055846749286</v>
      </c>
      <c r="F379" s="172">
        <v>136.66833192016961</v>
      </c>
      <c r="G379" s="8"/>
      <c r="H379" s="171">
        <v>5854.6321025257676</v>
      </c>
      <c r="I379" s="171">
        <v>4417.8119804057787</v>
      </c>
      <c r="J379" s="171">
        <v>3721.055846749286</v>
      </c>
      <c r="K379" s="171">
        <v>3034.473049074134</v>
      </c>
      <c r="L379" s="171">
        <v>3658.2236959231195</v>
      </c>
      <c r="M379" s="171">
        <v>3783.8879975754517</v>
      </c>
      <c r="N379" s="1" t="e">
        <v>#N/A</v>
      </c>
      <c r="O379" s="1"/>
      <c r="P379" s="156">
        <v>157.33792621361417</v>
      </c>
      <c r="Q379" s="156">
        <v>118.72468896872857</v>
      </c>
      <c r="R379" s="156">
        <v>100</v>
      </c>
      <c r="S379" s="156">
        <v>81.548710206138111</v>
      </c>
      <c r="T379" s="156">
        <v>98.311442950229932</v>
      </c>
      <c r="U379" s="156">
        <v>101.68855704977004</v>
      </c>
      <c r="V379" s="4"/>
      <c r="W379" s="4"/>
      <c r="X379" s="4"/>
      <c r="Y379" s="4"/>
      <c r="Z379" s="4"/>
      <c r="AA379" s="4"/>
      <c r="AB379" s="4"/>
      <c r="AC379" s="4"/>
      <c r="AD379" s="4"/>
      <c r="AE379" s="1"/>
      <c r="AF379" s="1"/>
      <c r="AG379" s="1"/>
    </row>
    <row r="380" spans="1:33" s="5" customFormat="1" ht="11.25" customHeight="1" x14ac:dyDescent="0.2">
      <c r="A380" s="136" t="s">
        <v>269</v>
      </c>
      <c r="B380" s="151" t="s">
        <v>36</v>
      </c>
      <c r="C380" s="168" t="s">
        <v>35</v>
      </c>
      <c r="D380" s="169">
        <v>781.02084837227062</v>
      </c>
      <c r="E380" s="169">
        <v>1652.0571697206278</v>
      </c>
      <c r="F380" s="170">
        <v>211.52536109166462</v>
      </c>
      <c r="G380" s="8"/>
      <c r="H380" s="169">
        <v>3745.091320422569</v>
      </c>
      <c r="I380" s="169">
        <v>2334.8770628151051</v>
      </c>
      <c r="J380" s="169">
        <v>1652.0571697206278</v>
      </c>
      <c r="K380" s="169">
        <v>978.89280619222473</v>
      </c>
      <c r="L380" s="169">
        <v>1523.5086620336001</v>
      </c>
      <c r="M380" s="169">
        <v>1780.6056774076546</v>
      </c>
      <c r="N380" s="1" t="e">
        <v>#N/A</v>
      </c>
      <c r="O380" s="9"/>
      <c r="P380" s="155">
        <v>226.69259811728458</v>
      </c>
      <c r="Q380" s="155">
        <v>141.33149297793042</v>
      </c>
      <c r="R380" s="155">
        <v>100</v>
      </c>
      <c r="S380" s="155">
        <v>59.252961951538339</v>
      </c>
      <c r="T380" s="155">
        <v>92.218882612351365</v>
      </c>
      <c r="U380" s="155">
        <v>107.78111738764858</v>
      </c>
      <c r="V380" s="8"/>
      <c r="W380" s="8"/>
      <c r="X380" s="8"/>
      <c r="Y380" s="8"/>
      <c r="Z380" s="8"/>
      <c r="AA380" s="8"/>
      <c r="AB380" s="8"/>
      <c r="AC380" s="8"/>
      <c r="AD380" s="8"/>
      <c r="AE380" s="1"/>
      <c r="AF380" s="9"/>
      <c r="AG380" s="1"/>
    </row>
    <row r="381" spans="1:33" s="5" customFormat="1" ht="11.25" customHeight="1" x14ac:dyDescent="0.25">
      <c r="A381" s="136" t="s">
        <v>269</v>
      </c>
      <c r="B381" s="152" t="s">
        <v>34</v>
      </c>
      <c r="C381" s="167" t="s">
        <v>33</v>
      </c>
      <c r="D381" s="171">
        <v>3.936537282244744</v>
      </c>
      <c r="E381" s="171">
        <v>8.3285193414439043</v>
      </c>
      <c r="F381" s="172">
        <v>211.56968026210859</v>
      </c>
      <c r="G381" s="8"/>
      <c r="H381" s="171">
        <v>17.950628495312909</v>
      </c>
      <c r="I381" s="171">
        <v>11.566903834224075</v>
      </c>
      <c r="J381" s="171">
        <v>8.3285193414439043</v>
      </c>
      <c r="K381" s="171">
        <v>5.0210892008005077</v>
      </c>
      <c r="L381" s="171">
        <v>7.1560915043233821</v>
      </c>
      <c r="M381" s="171">
        <v>9.6863571171566409</v>
      </c>
      <c r="N381" s="1" t="e">
        <v>#N/A</v>
      </c>
      <c r="O381" s="1"/>
      <c r="P381" s="156">
        <v>215.53205028879518</v>
      </c>
      <c r="Q381" s="156">
        <v>138.88307585077584</v>
      </c>
      <c r="R381" s="156">
        <v>100</v>
      </c>
      <c r="S381" s="156">
        <v>60.28789746353651</v>
      </c>
      <c r="T381" s="156">
        <v>85.92273381312387</v>
      </c>
      <c r="U381" s="156">
        <v>116.30347148209097</v>
      </c>
      <c r="V381" s="4"/>
      <c r="W381" s="4"/>
      <c r="X381" s="339" t="s">
        <v>234</v>
      </c>
      <c r="Y381" s="340"/>
      <c r="Z381" s="340"/>
      <c r="AA381" s="340"/>
      <c r="AB381" s="340"/>
      <c r="AC381" s="340"/>
      <c r="AD381" s="340"/>
      <c r="AE381" s="340"/>
      <c r="AF381" s="340"/>
      <c r="AG381" s="1"/>
    </row>
    <row r="382" spans="1:33" s="5" customFormat="1" ht="11.25" customHeight="1" x14ac:dyDescent="0.25">
      <c r="A382" s="136" t="s">
        <v>269</v>
      </c>
      <c r="B382" s="1"/>
      <c r="C382" s="19"/>
      <c r="D382" s="35">
        <v>8.4915726897351385E-2</v>
      </c>
      <c r="E382" s="35">
        <v>0</v>
      </c>
      <c r="F382" s="36"/>
      <c r="G382" s="36"/>
      <c r="H382" s="35">
        <v>0</v>
      </c>
      <c r="I382" s="35">
        <v>0</v>
      </c>
      <c r="J382" s="35">
        <v>0</v>
      </c>
      <c r="K382" s="35">
        <v>0</v>
      </c>
      <c r="L382" s="35">
        <v>0</v>
      </c>
      <c r="M382" s="35">
        <v>0</v>
      </c>
      <c r="N382" s="35" t="e">
        <v>#N/A</v>
      </c>
      <c r="O382" s="1"/>
      <c r="P382" s="4"/>
      <c r="Q382" s="4"/>
      <c r="R382" s="4"/>
      <c r="S382" s="4"/>
      <c r="T382" s="4"/>
      <c r="U382" s="4"/>
      <c r="V382" s="4"/>
      <c r="W382" s="4"/>
      <c r="X382" s="192" t="s">
        <v>261</v>
      </c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2" x14ac:dyDescent="0.25">
      <c r="A383" s="136" t="s">
        <v>189</v>
      </c>
      <c r="B383" s="227" t="s">
        <v>235</v>
      </c>
      <c r="C383" s="208"/>
      <c r="D383" s="208"/>
      <c r="E383" s="208"/>
      <c r="F383" s="208"/>
      <c r="G383" s="208"/>
      <c r="H383" s="208"/>
      <c r="I383" s="208"/>
      <c r="J383" s="208"/>
      <c r="K383" s="208"/>
      <c r="L383" s="208"/>
      <c r="M383" s="208"/>
      <c r="N383" s="208"/>
      <c r="O383" s="208"/>
      <c r="P383" s="209"/>
      <c r="Q383" s="209"/>
      <c r="R383" s="209"/>
      <c r="S383" s="209"/>
      <c r="T383" s="209"/>
      <c r="U383" s="209"/>
      <c r="V383" s="138"/>
      <c r="W383" s="26"/>
      <c r="X383" s="345" t="s">
        <v>161</v>
      </c>
      <c r="Y383" s="346"/>
      <c r="Z383" s="346"/>
      <c r="AA383" s="346"/>
      <c r="AB383" s="346"/>
      <c r="AC383" s="346"/>
      <c r="AD383" s="346"/>
      <c r="AE383" s="346"/>
      <c r="AF383" s="346"/>
    </row>
    <row r="384" spans="1:33" ht="12" x14ac:dyDescent="0.25">
      <c r="A384" s="136" t="s">
        <v>189</v>
      </c>
      <c r="B384" s="89"/>
      <c r="P384" s="26"/>
      <c r="Q384" s="26"/>
      <c r="R384" s="26"/>
      <c r="S384" s="26"/>
      <c r="T384" s="26"/>
      <c r="U384" s="26"/>
      <c r="V384" s="4"/>
      <c r="W384" s="26"/>
      <c r="X384" s="345" t="s">
        <v>72</v>
      </c>
      <c r="Y384" s="346"/>
      <c r="Z384" s="346"/>
      <c r="AA384" s="346"/>
      <c r="AB384" s="346"/>
      <c r="AC384" s="346"/>
      <c r="AD384" s="346"/>
      <c r="AE384" s="346"/>
      <c r="AF384" s="346"/>
    </row>
    <row r="385" spans="1:32" ht="13.2" x14ac:dyDescent="0.25">
      <c r="A385" s="136" t="s">
        <v>189</v>
      </c>
      <c r="B385" s="104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P385" s="26"/>
      <c r="Q385" s="26"/>
      <c r="R385" s="26"/>
      <c r="S385" s="26"/>
      <c r="T385" s="26"/>
      <c r="U385" s="26"/>
      <c r="V385" s="4"/>
      <c r="W385" s="26"/>
      <c r="X385" s="347" t="s">
        <v>71</v>
      </c>
      <c r="Y385" s="348"/>
      <c r="Z385" s="348"/>
      <c r="AA385" s="348"/>
      <c r="AB385" s="348"/>
      <c r="AC385" s="348"/>
      <c r="AD385" s="348"/>
      <c r="AE385" s="348"/>
      <c r="AF385" s="348"/>
    </row>
    <row r="386" spans="1:32" ht="12.75" customHeight="1" x14ac:dyDescent="0.25">
      <c r="A386" s="136" t="s">
        <v>189</v>
      </c>
      <c r="B386" s="9"/>
      <c r="P386" s="26"/>
      <c r="Q386" s="26"/>
      <c r="R386" s="26"/>
      <c r="S386" s="26"/>
      <c r="T386" s="26"/>
      <c r="U386" s="26"/>
      <c r="V386" s="4"/>
      <c r="W386" s="26"/>
      <c r="X386" s="349" t="s">
        <v>194</v>
      </c>
      <c r="Y386" s="350"/>
      <c r="Z386" s="350"/>
      <c r="AA386" s="350"/>
      <c r="AB386" s="350"/>
      <c r="AC386" s="350"/>
      <c r="AD386" s="350"/>
      <c r="AE386" s="350"/>
      <c r="AF386" s="350"/>
    </row>
    <row r="387" spans="1:32" ht="22.5" customHeight="1" x14ac:dyDescent="0.25">
      <c r="A387" s="136" t="s">
        <v>189</v>
      </c>
      <c r="B387" s="9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P387" s="26"/>
      <c r="Q387" s="26"/>
      <c r="R387" s="26"/>
      <c r="S387" s="26"/>
      <c r="T387" s="26"/>
      <c r="U387" s="26"/>
      <c r="V387" s="4"/>
      <c r="W387" s="26"/>
      <c r="X387" s="349" t="s">
        <v>187</v>
      </c>
      <c r="Y387" s="350"/>
      <c r="Z387" s="350"/>
      <c r="AA387" s="350"/>
      <c r="AB387" s="350"/>
      <c r="AC387" s="350"/>
      <c r="AD387" s="350"/>
      <c r="AE387" s="350"/>
      <c r="AF387" s="350"/>
    </row>
    <row r="388" spans="1:32" ht="22.5" customHeight="1" x14ac:dyDescent="0.25">
      <c r="A388" s="136" t="s">
        <v>189</v>
      </c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P388" s="26"/>
      <c r="Q388" s="26"/>
      <c r="R388" s="26"/>
      <c r="S388" s="26"/>
      <c r="T388" s="26"/>
      <c r="U388" s="26"/>
      <c r="V388" s="4"/>
      <c r="W388" s="26"/>
      <c r="X388" s="349" t="s">
        <v>188</v>
      </c>
      <c r="Y388" s="350"/>
      <c r="Z388" s="350"/>
      <c r="AA388" s="350"/>
      <c r="AB388" s="350"/>
      <c r="AC388" s="350"/>
      <c r="AD388" s="350"/>
      <c r="AE388" s="350"/>
      <c r="AF388" s="350"/>
    </row>
    <row r="389" spans="1:32" ht="12.75" customHeight="1" x14ac:dyDescent="0.25">
      <c r="A389" s="136" t="s">
        <v>189</v>
      </c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P389" s="26"/>
      <c r="Q389" s="26"/>
      <c r="R389" s="26"/>
      <c r="S389" s="26"/>
      <c r="T389" s="26"/>
      <c r="U389" s="26"/>
      <c r="V389" s="4"/>
      <c r="W389" s="26"/>
      <c r="X389" s="349" t="s">
        <v>70</v>
      </c>
      <c r="Y389" s="350"/>
      <c r="Z389" s="350"/>
      <c r="AA389" s="350"/>
      <c r="AB389" s="350"/>
      <c r="AC389" s="350"/>
      <c r="AD389" s="350"/>
      <c r="AE389" s="350"/>
      <c r="AF389" s="350"/>
    </row>
    <row r="390" spans="1:32" ht="12" x14ac:dyDescent="0.25">
      <c r="A390" s="136" t="s">
        <v>189</v>
      </c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P390" s="26"/>
      <c r="Q390" s="26"/>
      <c r="R390" s="26"/>
      <c r="S390" s="26"/>
      <c r="T390" s="26"/>
      <c r="U390" s="26"/>
      <c r="V390" s="4"/>
      <c r="W390" s="26"/>
      <c r="X390" s="349" t="s">
        <v>98</v>
      </c>
      <c r="Y390" s="350"/>
      <c r="Z390" s="350"/>
      <c r="AA390" s="350"/>
      <c r="AB390" s="350"/>
      <c r="AC390" s="350"/>
      <c r="AD390" s="350"/>
      <c r="AE390" s="350"/>
      <c r="AF390" s="350"/>
    </row>
    <row r="391" spans="1:32" ht="12" x14ac:dyDescent="0.25">
      <c r="A391" s="136" t="s">
        <v>189</v>
      </c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P391" s="26"/>
      <c r="Q391" s="26"/>
      <c r="R391" s="26"/>
      <c r="S391" s="26"/>
      <c r="T391" s="26"/>
      <c r="U391" s="26"/>
      <c r="V391" s="4"/>
      <c r="W391" s="26"/>
      <c r="X391" s="347" t="s">
        <v>69</v>
      </c>
      <c r="Y391" s="348"/>
      <c r="Z391" s="348"/>
      <c r="AA391" s="348"/>
      <c r="AB391" s="348"/>
      <c r="AC391" s="348"/>
      <c r="AD391" s="348"/>
      <c r="AE391" s="348"/>
      <c r="AF391" s="348"/>
    </row>
    <row r="392" spans="1:32" ht="12" x14ac:dyDescent="0.25">
      <c r="A392" s="136" t="s">
        <v>189</v>
      </c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P392" s="26"/>
      <c r="Q392" s="26"/>
      <c r="R392" s="26"/>
      <c r="S392" s="26"/>
      <c r="T392" s="26"/>
      <c r="U392" s="26"/>
      <c r="V392" s="4"/>
      <c r="W392" s="26"/>
      <c r="X392" s="347" t="s">
        <v>68</v>
      </c>
      <c r="Y392" s="348"/>
      <c r="Z392" s="348"/>
      <c r="AA392" s="348"/>
      <c r="AB392" s="348"/>
      <c r="AC392" s="348"/>
      <c r="AD392" s="348"/>
      <c r="AE392" s="348"/>
      <c r="AF392" s="348"/>
    </row>
    <row r="393" spans="1:32" ht="7.5" customHeight="1" x14ac:dyDescent="0.2">
      <c r="A393" s="136" t="s">
        <v>189</v>
      </c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P393" s="26"/>
      <c r="Q393" s="26"/>
      <c r="R393" s="26"/>
      <c r="S393" s="26"/>
      <c r="T393" s="26"/>
      <c r="U393" s="26"/>
      <c r="V393" s="4"/>
      <c r="W393" s="26"/>
      <c r="X393" s="206"/>
      <c r="Y393" s="206"/>
      <c r="Z393" s="206"/>
      <c r="AA393" s="207"/>
      <c r="AB393" s="207"/>
      <c r="AC393" s="207"/>
      <c r="AD393" s="207"/>
      <c r="AE393" s="207"/>
      <c r="AF393" s="207"/>
    </row>
    <row r="394" spans="1:32" ht="12" x14ac:dyDescent="0.25">
      <c r="A394" s="136" t="s">
        <v>189</v>
      </c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P394" s="26"/>
      <c r="Q394" s="26"/>
      <c r="R394" s="26"/>
      <c r="S394" s="26"/>
      <c r="T394" s="26"/>
      <c r="U394" s="26"/>
      <c r="V394" s="4"/>
      <c r="W394" s="26"/>
      <c r="X394" s="351" t="s">
        <v>179</v>
      </c>
      <c r="Y394" s="352"/>
      <c r="Z394" s="352"/>
      <c r="AA394" s="352"/>
      <c r="AB394" s="352"/>
      <c r="AC394" s="352"/>
      <c r="AD394" s="352"/>
      <c r="AE394" s="352"/>
      <c r="AF394" s="352"/>
    </row>
    <row r="395" spans="1:32" ht="12" x14ac:dyDescent="0.25">
      <c r="A395" s="136" t="s">
        <v>189</v>
      </c>
      <c r="B395" s="9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P395" s="26"/>
      <c r="Q395" s="26"/>
      <c r="R395" s="26"/>
      <c r="S395" s="26"/>
      <c r="T395" s="26"/>
      <c r="U395" s="26"/>
      <c r="V395" s="4"/>
      <c r="W395" s="26"/>
      <c r="X395" s="343" t="s">
        <v>180</v>
      </c>
      <c r="Y395" s="344"/>
      <c r="Z395" s="344"/>
      <c r="AA395" s="344"/>
      <c r="AB395" s="344"/>
      <c r="AC395" s="344"/>
      <c r="AD395" s="344"/>
      <c r="AE395" s="344"/>
      <c r="AF395" s="344"/>
    </row>
    <row r="396" spans="1:32" ht="12" x14ac:dyDescent="0.25">
      <c r="A396" s="136" t="s">
        <v>189</v>
      </c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P396" s="26"/>
      <c r="Q396" s="26"/>
      <c r="R396" s="26"/>
      <c r="S396" s="26"/>
      <c r="T396" s="26"/>
      <c r="U396" s="26"/>
      <c r="V396" s="4"/>
      <c r="W396" s="26"/>
      <c r="X396" s="355" t="s">
        <v>181</v>
      </c>
      <c r="Y396" s="356"/>
      <c r="Z396" s="356"/>
      <c r="AA396" s="356"/>
      <c r="AB396" s="356"/>
      <c r="AC396" s="356"/>
      <c r="AD396" s="356"/>
      <c r="AE396" s="356"/>
      <c r="AF396" s="356"/>
    </row>
    <row r="397" spans="1:32" ht="12" x14ac:dyDescent="0.25">
      <c r="A397" s="136" t="s">
        <v>189</v>
      </c>
      <c r="B397" s="9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P397" s="26"/>
      <c r="Q397" s="26"/>
      <c r="R397" s="26"/>
      <c r="S397" s="26"/>
      <c r="T397" s="26"/>
      <c r="U397" s="26"/>
      <c r="V397" s="4"/>
      <c r="W397" s="26"/>
      <c r="X397" s="355" t="s">
        <v>182</v>
      </c>
      <c r="Y397" s="356"/>
      <c r="Z397" s="356"/>
      <c r="AA397" s="356"/>
      <c r="AB397" s="356"/>
      <c r="AC397" s="356"/>
      <c r="AD397" s="356"/>
      <c r="AE397" s="356"/>
      <c r="AF397" s="356"/>
    </row>
    <row r="398" spans="1:32" ht="12" x14ac:dyDescent="0.25">
      <c r="A398" s="136" t="s">
        <v>189</v>
      </c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P398" s="26"/>
      <c r="Q398" s="26"/>
      <c r="R398" s="26"/>
      <c r="S398" s="26"/>
      <c r="T398" s="26"/>
      <c r="U398" s="26"/>
      <c r="V398" s="4"/>
      <c r="W398" s="26"/>
      <c r="X398" s="355" t="s">
        <v>183</v>
      </c>
      <c r="Y398" s="356"/>
      <c r="Z398" s="356"/>
      <c r="AA398" s="356"/>
      <c r="AB398" s="356"/>
      <c r="AC398" s="356"/>
      <c r="AD398" s="356"/>
      <c r="AE398" s="356"/>
      <c r="AF398" s="356"/>
    </row>
    <row r="399" spans="1:32" ht="12" x14ac:dyDescent="0.25">
      <c r="A399" s="136" t="s">
        <v>189</v>
      </c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P399" s="26"/>
      <c r="Q399" s="26"/>
      <c r="R399" s="26"/>
      <c r="S399" s="26"/>
      <c r="T399" s="26"/>
      <c r="U399" s="26"/>
      <c r="V399" s="4"/>
      <c r="W399" s="26"/>
      <c r="X399" s="355" t="s">
        <v>184</v>
      </c>
      <c r="Y399" s="356"/>
      <c r="Z399" s="356"/>
      <c r="AA399" s="356"/>
      <c r="AB399" s="356"/>
      <c r="AC399" s="356"/>
      <c r="AD399" s="356"/>
      <c r="AE399" s="356"/>
      <c r="AF399" s="356"/>
    </row>
    <row r="400" spans="1:32" ht="12" x14ac:dyDescent="0.25">
      <c r="A400" s="136" t="s">
        <v>189</v>
      </c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P400" s="26"/>
      <c r="Q400" s="26"/>
      <c r="R400" s="26"/>
      <c r="S400" s="26"/>
      <c r="T400" s="26"/>
      <c r="U400" s="26"/>
      <c r="V400" s="4"/>
      <c r="W400" s="26"/>
      <c r="X400" s="343" t="s">
        <v>186</v>
      </c>
      <c r="Y400" s="344"/>
      <c r="Z400" s="344"/>
      <c r="AA400" s="344"/>
      <c r="AB400" s="344"/>
      <c r="AC400" s="344"/>
      <c r="AD400" s="344"/>
      <c r="AE400" s="344"/>
      <c r="AF400" s="344"/>
    </row>
    <row r="401" spans="1:32" ht="12" x14ac:dyDescent="0.25">
      <c r="A401" s="136" t="s">
        <v>189</v>
      </c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P401" s="26"/>
      <c r="Q401" s="26"/>
      <c r="R401" s="26"/>
      <c r="S401" s="26"/>
      <c r="T401" s="26"/>
      <c r="U401" s="26"/>
      <c r="V401" s="4"/>
      <c r="W401" s="26"/>
      <c r="X401" s="355" t="s">
        <v>196</v>
      </c>
      <c r="Y401" s="356"/>
      <c r="Z401" s="356"/>
      <c r="AA401" s="356"/>
      <c r="AB401" s="356"/>
      <c r="AC401" s="356"/>
      <c r="AD401" s="356"/>
      <c r="AE401" s="356"/>
      <c r="AF401" s="356"/>
    </row>
    <row r="402" spans="1:32" ht="12" x14ac:dyDescent="0.25">
      <c r="A402" s="136" t="s">
        <v>189</v>
      </c>
      <c r="B402" s="16"/>
      <c r="C402" s="19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P402" s="26"/>
      <c r="Q402" s="26"/>
      <c r="R402" s="26"/>
      <c r="S402" s="26"/>
      <c r="T402" s="26"/>
      <c r="U402" s="26"/>
      <c r="V402" s="4"/>
      <c r="W402" s="26"/>
      <c r="X402" s="343" t="s">
        <v>193</v>
      </c>
      <c r="Y402" s="344"/>
      <c r="Z402" s="344"/>
      <c r="AA402" s="344"/>
      <c r="AB402" s="344"/>
      <c r="AC402" s="344"/>
      <c r="AD402" s="344"/>
      <c r="AE402" s="344"/>
      <c r="AF402" s="344"/>
    </row>
    <row r="403" spans="1:32" ht="12" x14ac:dyDescent="0.25">
      <c r="A403" s="136" t="s">
        <v>189</v>
      </c>
      <c r="B403" s="16"/>
      <c r="C403" s="19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P403" s="26"/>
      <c r="Q403" s="26"/>
      <c r="R403" s="26"/>
      <c r="S403" s="26"/>
      <c r="T403" s="26"/>
      <c r="U403" s="26"/>
      <c r="V403" s="4"/>
      <c r="W403" s="26"/>
      <c r="X403" s="355" t="s">
        <v>192</v>
      </c>
      <c r="Y403" s="356"/>
      <c r="Z403" s="356"/>
      <c r="AA403" s="356"/>
      <c r="AB403" s="356"/>
      <c r="AC403" s="356"/>
      <c r="AD403" s="356"/>
      <c r="AE403" s="356"/>
      <c r="AF403" s="356"/>
    </row>
    <row r="404" spans="1:32" ht="13.2" hidden="1" x14ac:dyDescent="0.25">
      <c r="A404" s="136" t="s">
        <v>189</v>
      </c>
      <c r="B404" s="9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P404" s="26"/>
      <c r="Q404" s="26"/>
      <c r="R404" s="26"/>
      <c r="S404" s="26"/>
      <c r="T404" s="26"/>
      <c r="U404" s="26"/>
      <c r="V404" s="4"/>
      <c r="W404" s="26"/>
      <c r="X404" s="353"/>
      <c r="Y404" s="354"/>
      <c r="Z404" s="193"/>
    </row>
    <row r="405" spans="1:32" ht="13.2" hidden="1" x14ac:dyDescent="0.25">
      <c r="A405" s="211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P405" s="26"/>
      <c r="Q405" s="26"/>
      <c r="R405" s="26"/>
      <c r="S405" s="26"/>
      <c r="T405" s="26"/>
      <c r="U405" s="26"/>
      <c r="V405" s="4"/>
      <c r="W405" s="26"/>
      <c r="X405" s="353"/>
      <c r="Y405" s="354"/>
      <c r="Z405" s="193"/>
    </row>
    <row r="406" spans="1:32" ht="13.2" hidden="1" x14ac:dyDescent="0.25">
      <c r="A406" s="109"/>
      <c r="B406" s="9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P406" s="26"/>
      <c r="Q406" s="26"/>
      <c r="R406" s="26"/>
      <c r="S406" s="26"/>
      <c r="T406" s="26"/>
      <c r="U406" s="26"/>
      <c r="V406" s="4"/>
      <c r="W406" s="26"/>
      <c r="X406" s="353"/>
      <c r="Y406" s="354"/>
      <c r="Z406" s="193"/>
    </row>
    <row r="407" spans="1:32" ht="13.2" hidden="1" x14ac:dyDescent="0.25">
      <c r="A407" s="109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P407" s="26"/>
      <c r="Q407" s="26"/>
      <c r="R407" s="26"/>
      <c r="S407" s="26"/>
      <c r="T407" s="26"/>
      <c r="U407" s="26"/>
      <c r="V407" s="4"/>
      <c r="W407" s="26"/>
      <c r="X407" s="353"/>
      <c r="Y407" s="354"/>
      <c r="Z407" s="193"/>
    </row>
    <row r="408" spans="1:32" ht="13.2" hidden="1" x14ac:dyDescent="0.25">
      <c r="A408" s="109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P408" s="26"/>
      <c r="Q408" s="26"/>
      <c r="R408" s="26"/>
      <c r="S408" s="26"/>
      <c r="T408" s="26"/>
      <c r="U408" s="26"/>
      <c r="V408" s="4"/>
      <c r="W408" s="26"/>
      <c r="X408" s="353"/>
      <c r="Y408" s="354"/>
      <c r="Z408" s="193"/>
    </row>
    <row r="409" spans="1:32" ht="13.2" hidden="1" x14ac:dyDescent="0.25">
      <c r="A409" s="109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P409" s="26"/>
      <c r="Q409" s="26"/>
      <c r="R409" s="26"/>
      <c r="S409" s="26"/>
      <c r="T409" s="26"/>
      <c r="U409" s="26"/>
      <c r="V409" s="4"/>
      <c r="W409" s="26"/>
      <c r="X409" s="353"/>
      <c r="Y409" s="354"/>
      <c r="Z409" s="193"/>
    </row>
    <row r="410" spans="1:32" ht="13.2" hidden="1" x14ac:dyDescent="0.25">
      <c r="A410" s="109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P410" s="26"/>
      <c r="Q410" s="26"/>
      <c r="R410" s="26"/>
      <c r="S410" s="26"/>
      <c r="T410" s="26"/>
      <c r="U410" s="26"/>
      <c r="V410" s="4"/>
      <c r="W410" s="26"/>
      <c r="X410" s="353"/>
      <c r="Y410" s="354"/>
      <c r="Z410" s="193"/>
    </row>
    <row r="411" spans="1:32" ht="13.2" hidden="1" x14ac:dyDescent="0.25">
      <c r="A411" s="109"/>
      <c r="B411" s="9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P411" s="26"/>
      <c r="Q411" s="26"/>
      <c r="R411" s="26"/>
      <c r="S411" s="26"/>
      <c r="T411" s="26"/>
      <c r="U411" s="26"/>
      <c r="V411" s="4"/>
      <c r="W411" s="26"/>
      <c r="X411" s="353"/>
      <c r="Y411" s="354"/>
      <c r="Z411" s="193"/>
    </row>
    <row r="412" spans="1:32" ht="13.2" hidden="1" x14ac:dyDescent="0.25">
      <c r="A412" s="109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P412" s="26"/>
      <c r="Q412" s="26"/>
      <c r="R412" s="26"/>
      <c r="S412" s="26"/>
      <c r="T412" s="26"/>
      <c r="U412" s="26"/>
      <c r="V412" s="4"/>
      <c r="W412" s="26"/>
      <c r="X412" s="353"/>
      <c r="Y412" s="354"/>
      <c r="Z412" s="193"/>
    </row>
    <row r="413" spans="1:32" ht="13.2" hidden="1" x14ac:dyDescent="0.25">
      <c r="A413" s="109"/>
      <c r="B413" s="9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P413" s="26"/>
      <c r="Q413" s="26"/>
      <c r="R413" s="26"/>
      <c r="S413" s="26"/>
      <c r="T413" s="26"/>
      <c r="U413" s="26"/>
      <c r="V413" s="4"/>
      <c r="W413" s="26"/>
      <c r="X413" s="353"/>
      <c r="Y413" s="354"/>
      <c r="Z413" s="193"/>
    </row>
    <row r="414" spans="1:32" ht="13.2" hidden="1" x14ac:dyDescent="0.25">
      <c r="A414" s="109"/>
      <c r="C414" s="19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P414" s="26"/>
      <c r="Q414" s="26"/>
      <c r="R414" s="26"/>
      <c r="S414" s="26"/>
      <c r="T414" s="26"/>
      <c r="U414" s="26"/>
      <c r="V414" s="4"/>
      <c r="W414" s="26"/>
      <c r="X414" s="353"/>
      <c r="Y414" s="354"/>
      <c r="Z414" s="193"/>
    </row>
    <row r="415" spans="1:32" ht="13.2" hidden="1" x14ac:dyDescent="0.25">
      <c r="A415" s="109"/>
      <c r="P415" s="26"/>
      <c r="Q415" s="26"/>
      <c r="R415" s="26"/>
      <c r="S415" s="26"/>
      <c r="T415" s="26"/>
      <c r="U415" s="26"/>
      <c r="V415" s="4"/>
      <c r="W415" s="26"/>
      <c r="X415" s="353"/>
      <c r="Y415" s="354"/>
      <c r="Z415" s="193"/>
    </row>
    <row r="416" spans="1:32" ht="13.2" hidden="1" x14ac:dyDescent="0.25">
      <c r="A416" s="109"/>
      <c r="V416" s="4"/>
      <c r="X416" s="353"/>
      <c r="Y416" s="354"/>
    </row>
    <row r="417" spans="1:25" ht="13.2" hidden="1" x14ac:dyDescent="0.25">
      <c r="A417" s="109"/>
      <c r="V417" s="4"/>
      <c r="X417" s="353"/>
      <c r="Y417" s="354"/>
    </row>
    <row r="418" spans="1:25" ht="13.2" hidden="1" x14ac:dyDescent="0.25">
      <c r="A418" s="109"/>
      <c r="D418" s="76"/>
      <c r="E418" s="76"/>
      <c r="L418" s="76"/>
      <c r="M418" s="76"/>
      <c r="V418" s="4"/>
      <c r="X418" s="353"/>
      <c r="Y418" s="354"/>
    </row>
    <row r="419" spans="1:25" ht="13.2" hidden="1" x14ac:dyDescent="0.25">
      <c r="A419" s="109"/>
      <c r="X419" s="353"/>
      <c r="Y419" s="354"/>
    </row>
    <row r="420" spans="1:25" ht="13.2" hidden="1" x14ac:dyDescent="0.25">
      <c r="A420" s="109"/>
      <c r="X420" s="353"/>
      <c r="Y420" s="354"/>
    </row>
    <row r="421" spans="1:25" ht="13.2" hidden="1" x14ac:dyDescent="0.25">
      <c r="A421" s="109"/>
      <c r="X421" s="353"/>
      <c r="Y421" s="354"/>
    </row>
    <row r="422" spans="1:25" ht="13.2" hidden="1" x14ac:dyDescent="0.25">
      <c r="A422" s="109"/>
      <c r="X422" s="353"/>
      <c r="Y422" s="354"/>
    </row>
    <row r="423" spans="1:25" ht="13.2" hidden="1" x14ac:dyDescent="0.25">
      <c r="A423" s="109"/>
      <c r="X423" s="353"/>
      <c r="Y423" s="354"/>
    </row>
    <row r="424" spans="1:25" ht="13.2" hidden="1" x14ac:dyDescent="0.25">
      <c r="A424" s="109"/>
      <c r="X424" s="353"/>
      <c r="Y424" s="354"/>
    </row>
    <row r="425" spans="1:25" hidden="1" x14ac:dyDescent="0.2">
      <c r="A425" s="109"/>
    </row>
  </sheetData>
  <autoFilter ref="A2:A425" xr:uid="{00000000-0009-0000-0000-000001000000}"/>
  <mergeCells count="71">
    <mergeCell ref="X420:Y420"/>
    <mergeCell ref="X421:Y421"/>
    <mergeCell ref="X422:Y422"/>
    <mergeCell ref="X423:Y423"/>
    <mergeCell ref="X424:Y424"/>
    <mergeCell ref="X419:Y419"/>
    <mergeCell ref="X408:Y408"/>
    <mergeCell ref="X409:Y409"/>
    <mergeCell ref="X410:Y410"/>
    <mergeCell ref="X411:Y411"/>
    <mergeCell ref="X412:Y412"/>
    <mergeCell ref="X413:Y413"/>
    <mergeCell ref="X414:Y414"/>
    <mergeCell ref="X415:Y415"/>
    <mergeCell ref="X416:Y416"/>
    <mergeCell ref="X417:Y417"/>
    <mergeCell ref="X418:Y418"/>
    <mergeCell ref="X407:Y407"/>
    <mergeCell ref="X396:AF396"/>
    <mergeCell ref="X397:AF397"/>
    <mergeCell ref="X398:AF398"/>
    <mergeCell ref="X399:AF399"/>
    <mergeCell ref="X400:AF400"/>
    <mergeCell ref="X401:AF401"/>
    <mergeCell ref="X402:AF402"/>
    <mergeCell ref="X403:AF403"/>
    <mergeCell ref="X404:Y404"/>
    <mergeCell ref="X405:Y405"/>
    <mergeCell ref="X406:Y406"/>
    <mergeCell ref="X395:AF395"/>
    <mergeCell ref="X383:AF383"/>
    <mergeCell ref="X384:AF384"/>
    <mergeCell ref="X385:AF385"/>
    <mergeCell ref="X386:AF386"/>
    <mergeCell ref="X387:AF387"/>
    <mergeCell ref="X388:AF388"/>
    <mergeCell ref="X389:AF389"/>
    <mergeCell ref="X390:AF390"/>
    <mergeCell ref="X391:AF391"/>
    <mergeCell ref="X392:AF392"/>
    <mergeCell ref="X394:AF394"/>
    <mergeCell ref="X381:AF381"/>
    <mergeCell ref="F233:F234"/>
    <mergeCell ref="X251:AF251"/>
    <mergeCell ref="X267:AF267"/>
    <mergeCell ref="F271:F272"/>
    <mergeCell ref="X289:AF289"/>
    <mergeCell ref="X305:AF305"/>
    <mergeCell ref="F309:F310"/>
    <mergeCell ref="X327:AF327"/>
    <mergeCell ref="X343:AF343"/>
    <mergeCell ref="F347:F348"/>
    <mergeCell ref="X364:AF364"/>
    <mergeCell ref="X229:AF229"/>
    <mergeCell ref="F81:F82"/>
    <mergeCell ref="X99:AF99"/>
    <mergeCell ref="X115:AF115"/>
    <mergeCell ref="F119:F120"/>
    <mergeCell ref="X137:AF137"/>
    <mergeCell ref="X153:AF153"/>
    <mergeCell ref="F157:F158"/>
    <mergeCell ref="X175:AF175"/>
    <mergeCell ref="X191:AF191"/>
    <mergeCell ref="F195:F196"/>
    <mergeCell ref="X213:AF213"/>
    <mergeCell ref="X77:AF77"/>
    <mergeCell ref="F5:F6"/>
    <mergeCell ref="X23:AF23"/>
    <mergeCell ref="X39:AF39"/>
    <mergeCell ref="F43:F44"/>
    <mergeCell ref="X61:AF61"/>
  </mergeCells>
  <conditionalFormatting sqref="F40:G40">
    <cfRule type="cellIs" dxfId="69" priority="67" stopIfTrue="1" operator="notEqual">
      <formula>0</formula>
    </cfRule>
  </conditionalFormatting>
  <conditionalFormatting sqref="F78:G78">
    <cfRule type="cellIs" dxfId="68" priority="9" stopIfTrue="1" operator="notEqual">
      <formula>0</formula>
    </cfRule>
  </conditionalFormatting>
  <conditionalFormatting sqref="F116:G116">
    <cfRule type="cellIs" dxfId="67" priority="8" stopIfTrue="1" operator="notEqual">
      <formula>0</formula>
    </cfRule>
  </conditionalFormatting>
  <conditionalFormatting sqref="F154:G154">
    <cfRule type="cellIs" dxfId="66" priority="7" stopIfTrue="1" operator="notEqual">
      <formula>0</formula>
    </cfRule>
  </conditionalFormatting>
  <conditionalFormatting sqref="F192:G192">
    <cfRule type="cellIs" dxfId="65" priority="6" stopIfTrue="1" operator="notEqual">
      <formula>0</formula>
    </cfRule>
  </conditionalFormatting>
  <conditionalFormatting sqref="F230:G230">
    <cfRule type="cellIs" dxfId="64" priority="5" stopIfTrue="1" operator="notEqual">
      <formula>0</formula>
    </cfRule>
  </conditionalFormatting>
  <conditionalFormatting sqref="F268:G268">
    <cfRule type="cellIs" dxfId="63" priority="4" stopIfTrue="1" operator="notEqual">
      <formula>0</formula>
    </cfRule>
  </conditionalFormatting>
  <conditionalFormatting sqref="F306:G306">
    <cfRule type="cellIs" dxfId="62" priority="3" stopIfTrue="1" operator="notEqual">
      <formula>0</formula>
    </cfRule>
  </conditionalFormatting>
  <conditionalFormatting sqref="F344:G344">
    <cfRule type="cellIs" dxfId="61" priority="2" stopIfTrue="1" operator="notEqual">
      <formula>0</formula>
    </cfRule>
  </conditionalFormatting>
  <conditionalFormatting sqref="F382:G382">
    <cfRule type="cellIs" dxfId="60" priority="1" stopIfTrue="1" operator="notEqual">
      <formula>0</formula>
    </cfRule>
  </conditionalFormatting>
  <pageMargins left="0.75" right="0.75" top="1" bottom="1" header="0" footer="0"/>
  <pageSetup paperSize="9" scale="1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9">
    <tabColor theme="6" tint="0.39997558519241921"/>
    <pageSetUpPr fitToPage="1"/>
  </sheetPr>
  <dimension ref="A1:BQ476"/>
  <sheetViews>
    <sheetView workbookViewId="0"/>
  </sheetViews>
  <sheetFormatPr defaultColWidth="9.33203125" defaultRowHeight="13.2" x14ac:dyDescent="0.25"/>
  <cols>
    <col min="1" max="4" width="9.33203125" style="25" customWidth="1"/>
    <col min="6" max="6" width="13" style="5" customWidth="1"/>
    <col min="7" max="7" width="3.77734375" style="5" customWidth="1"/>
    <col min="8" max="8" width="3" style="136" customWidth="1"/>
    <col min="9" max="9" width="34.6640625" style="1" customWidth="1"/>
    <col min="10" max="11" width="8.33203125" style="1" customWidth="1"/>
    <col min="12" max="12" width="11" style="1" customWidth="1"/>
    <col min="13" max="13" width="11.44140625" style="1" customWidth="1"/>
    <col min="14" max="14" width="1" style="1" customWidth="1"/>
    <col min="15" max="15" width="10.33203125" style="1" customWidth="1"/>
    <col min="16" max="17" width="9" style="1" customWidth="1"/>
    <col min="18" max="18" width="9.77734375" style="1" customWidth="1"/>
    <col min="19" max="19" width="9" style="1" customWidth="1"/>
    <col min="20" max="20" width="8.33203125" style="1" customWidth="1"/>
    <col min="21" max="21" width="0.77734375" style="1" customWidth="1"/>
    <col min="22" max="22" width="0.6640625" style="1" customWidth="1"/>
    <col min="23" max="28" width="6.44140625" style="1" customWidth="1"/>
    <col min="29" max="29" width="7.109375" style="1" customWidth="1"/>
    <col min="30" max="30" width="0.44140625" style="1" customWidth="1"/>
    <col min="31" max="31" width="14.77734375" style="1" customWidth="1"/>
    <col min="32" max="39" width="8.77734375" style="1" customWidth="1"/>
    <col min="40" max="40" width="2" style="1" customWidth="1"/>
    <col min="41" max="43" width="10.33203125" style="1" customWidth="1"/>
    <col min="44" max="46" width="9.33203125" style="1" customWidth="1"/>
    <col min="47" max="47" width="9" style="1" bestFit="1" customWidth="1"/>
    <col min="48" max="49" width="6" style="1" customWidth="1"/>
    <col min="50" max="51" width="9.33203125" style="1"/>
    <col min="52" max="52" width="12.109375" style="1" customWidth="1"/>
    <col min="53" max="53" width="9.33203125" style="1"/>
    <col min="54" max="54" width="6.109375" style="5" customWidth="1"/>
    <col min="55" max="55" width="43.109375" style="1" customWidth="1"/>
    <col min="56" max="56" width="8.33203125" style="1" customWidth="1"/>
    <col min="57" max="58" width="9.77734375" style="1" customWidth="1"/>
    <col min="59" max="59" width="3.6640625" style="1" customWidth="1"/>
    <col min="60" max="60" width="7.6640625" style="24" customWidth="1"/>
    <col min="61" max="61" width="7.77734375" style="1" customWidth="1"/>
    <col min="62" max="62" width="4.44140625" style="1" customWidth="1"/>
    <col min="63" max="65" width="9" style="1" customWidth="1"/>
    <col min="66" max="66" width="9.77734375" style="1" customWidth="1"/>
    <col min="67" max="67" width="9" style="1" customWidth="1"/>
    <col min="68" max="68" width="8.33203125" style="1" customWidth="1"/>
    <col min="69" max="69" width="6.109375" style="5" customWidth="1"/>
    <col min="70" max="16384" width="9.33203125" style="1"/>
  </cols>
  <sheetData>
    <row r="1" spans="8:68" x14ac:dyDescent="0.25"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BE1" s="23"/>
      <c r="BF1" s="23"/>
      <c r="BG1" s="23"/>
      <c r="BH1" s="98"/>
      <c r="BI1" s="23"/>
      <c r="BJ1" s="23"/>
      <c r="BK1" s="23"/>
      <c r="BL1" s="23"/>
      <c r="BM1" s="23"/>
      <c r="BN1" s="23"/>
      <c r="BO1" s="23"/>
      <c r="BP1" s="23"/>
    </row>
    <row r="2" spans="8:68" hidden="1" x14ac:dyDescent="0.25"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BE2" s="23"/>
      <c r="BF2" s="23"/>
      <c r="BG2" s="23"/>
      <c r="BH2" s="98"/>
      <c r="BI2" s="23"/>
      <c r="BJ2" s="23"/>
      <c r="BK2" s="23"/>
      <c r="BL2" s="23"/>
      <c r="BM2" s="23"/>
      <c r="BN2" s="23"/>
      <c r="BO2" s="23"/>
      <c r="BP2" s="23"/>
    </row>
    <row r="3" spans="8:68" x14ac:dyDescent="0.25">
      <c r="J3" s="101"/>
      <c r="K3" s="23" t="e">
        <f>(K80-K73)-(K83-K84)</f>
        <v>#REF!</v>
      </c>
      <c r="L3" s="23" t="e">
        <f>(L80-L73)-(L83-L84)</f>
        <v>#REF!</v>
      </c>
      <c r="M3" s="30"/>
      <c r="N3" s="30"/>
      <c r="O3" s="23">
        <f>(O80-O73)-(O83-O84)</f>
        <v>0</v>
      </c>
      <c r="P3" s="23">
        <f>(P80-P73)-(P83-P84)</f>
        <v>0</v>
      </c>
      <c r="Q3" s="23">
        <f>(Q80-Q73)-(Q83-Q84)</f>
        <v>2.2737367544323206E-13</v>
      </c>
      <c r="R3" s="23">
        <f>(R80-R73)-(R83-R84)</f>
        <v>-2.2737367544323206E-13</v>
      </c>
      <c r="S3" s="23">
        <f>(S80-S73)-(S83-S84)</f>
        <v>-4.5474735088646412E-13</v>
      </c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BD3" s="101"/>
      <c r="BE3" s="23"/>
      <c r="BF3" s="23"/>
      <c r="BG3" s="23"/>
      <c r="BH3" s="98"/>
      <c r="BI3" s="30"/>
      <c r="BJ3" s="30"/>
      <c r="BK3" s="23"/>
      <c r="BL3" s="23"/>
      <c r="BM3" s="23"/>
      <c r="BN3" s="23"/>
      <c r="BO3" s="23"/>
      <c r="BP3" s="23"/>
    </row>
    <row r="4" spans="8:68" x14ac:dyDescent="0.25">
      <c r="K4" s="23">
        <f>(K118-K111)-(K121-K122)</f>
        <v>-4.5474735088646412E-13</v>
      </c>
      <c r="L4" s="23">
        <f>(L118-L111)-(L121-L122)</f>
        <v>2.2737367544323206E-13</v>
      </c>
      <c r="M4" s="23"/>
      <c r="N4" s="23"/>
      <c r="O4" s="23">
        <f>(O118-O111)-(O121-O122)</f>
        <v>-2.2737367544323206E-13</v>
      </c>
      <c r="P4" s="23">
        <f>(P118-P111)-(P121-P122)</f>
        <v>0</v>
      </c>
      <c r="Q4" s="23">
        <f>(Q118-Q111)-(Q121-Q122)</f>
        <v>2.2737367544323206E-13</v>
      </c>
      <c r="R4" s="23">
        <f>(R118-R111)-(R121-R122)</f>
        <v>-2.2737367544323206E-13</v>
      </c>
      <c r="S4" s="23">
        <f>(S118-S111)-(S121-S122)</f>
        <v>0</v>
      </c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BE4" s="23"/>
      <c r="BF4" s="23"/>
      <c r="BG4" s="23"/>
      <c r="BH4" s="98"/>
      <c r="BI4" s="23"/>
      <c r="BJ4" s="23"/>
      <c r="BK4" s="23"/>
      <c r="BL4" s="23"/>
      <c r="BM4" s="23"/>
      <c r="BN4" s="23"/>
      <c r="BO4" s="23"/>
      <c r="BP4" s="23"/>
    </row>
    <row r="5" spans="8:68" x14ac:dyDescent="0.25">
      <c r="K5" s="23" t="e">
        <f>(K194-K187)-(K197-K198)</f>
        <v>#REF!</v>
      </c>
      <c r="L5" s="23" t="e">
        <f>(L194-L187)-(L197-L198)</f>
        <v>#REF!</v>
      </c>
      <c r="O5" s="23">
        <f>(O194-O187)-(O197-O198)</f>
        <v>0</v>
      </c>
      <c r="P5" s="23">
        <f>(P194-P187)-(P197-P198)</f>
        <v>0</v>
      </c>
      <c r="Q5" s="23">
        <f>(Q194-Q187)-(Q197-Q198)</f>
        <v>0</v>
      </c>
      <c r="R5" s="23">
        <f>(R194-R187)-(R197-R198)</f>
        <v>-4.5474735088646412E-13</v>
      </c>
      <c r="S5" s="23">
        <f>(S194-S187)-(S197-S198)</f>
        <v>0</v>
      </c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BE5" s="23"/>
      <c r="BF5" s="23"/>
      <c r="BG5" s="23"/>
      <c r="BH5" s="98"/>
      <c r="BK5" s="23"/>
      <c r="BL5" s="23"/>
      <c r="BM5" s="23"/>
      <c r="BN5" s="23"/>
      <c r="BO5" s="23"/>
      <c r="BP5" s="23"/>
    </row>
    <row r="6" spans="8:68" x14ac:dyDescent="0.25">
      <c r="K6" s="23">
        <f>(K232-K225)-(K235-K236)</f>
        <v>-3.637978807091713E-12</v>
      </c>
      <c r="L6" s="23">
        <f>(L232-L225)-(L235-L236)</f>
        <v>0</v>
      </c>
      <c r="M6" s="23"/>
      <c r="N6" s="23"/>
      <c r="O6" s="23">
        <f>(O232-O225)-(O235-O236)</f>
        <v>0</v>
      </c>
      <c r="P6" s="23">
        <f>(P232-P225)-(P235-P236)</f>
        <v>0</v>
      </c>
      <c r="Q6" s="23">
        <f>(Q232-Q225)-(Q235-Q236)</f>
        <v>0</v>
      </c>
      <c r="R6" s="23">
        <f>(R232-R225)-(R235-R236)</f>
        <v>0</v>
      </c>
      <c r="S6" s="23">
        <f>(S232-S225)-(S235-S236)</f>
        <v>0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BE6" s="23"/>
      <c r="BF6" s="23"/>
      <c r="BG6" s="23"/>
      <c r="BH6" s="98"/>
      <c r="BI6" s="23"/>
      <c r="BJ6" s="23"/>
      <c r="BK6" s="23"/>
      <c r="BL6" s="23"/>
      <c r="BM6" s="23"/>
      <c r="BN6" s="23"/>
      <c r="BO6" s="23"/>
      <c r="BP6" s="23"/>
    </row>
    <row r="7" spans="8:68" x14ac:dyDescent="0.25">
      <c r="K7" s="23">
        <f>(K156-K149)-(K159-K160)</f>
        <v>4.5474735088646412E-13</v>
      </c>
      <c r="L7" s="23">
        <f>(L156-L149)-(L159-L160)</f>
        <v>-4.5474735088646412E-13</v>
      </c>
      <c r="M7" s="23"/>
      <c r="N7" s="23"/>
      <c r="O7" s="23">
        <f>(O156-O149)-(O159-O160)</f>
        <v>0</v>
      </c>
      <c r="P7" s="23">
        <f>(P156-P149)-(P159-P160)</f>
        <v>-4.5474735088646412E-13</v>
      </c>
      <c r="Q7" s="23">
        <f>(Q156-Q149)-(Q159-Q160)</f>
        <v>0</v>
      </c>
      <c r="R7" s="23">
        <f>(R156-R149)-(R159-R160)</f>
        <v>4.5474735088646412E-13</v>
      </c>
      <c r="S7" s="23">
        <f>(S156-S149)-(S159-S160)</f>
        <v>6.8212102632969618E-13</v>
      </c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BE7" s="23"/>
      <c r="BF7" s="23"/>
      <c r="BG7" s="23"/>
      <c r="BH7" s="98"/>
      <c r="BI7" s="23"/>
      <c r="BJ7" s="23"/>
      <c r="BK7" s="23"/>
      <c r="BL7" s="23"/>
      <c r="BM7" s="23"/>
      <c r="BN7" s="23"/>
      <c r="BO7" s="23"/>
      <c r="BP7" s="23"/>
    </row>
    <row r="8" spans="8:68" x14ac:dyDescent="0.25">
      <c r="K8" s="23">
        <f>(K270-K263)-(K273-K274)</f>
        <v>-3.637978807091713E-12</v>
      </c>
      <c r="L8" s="23">
        <f>(L270-L263)-(L273-L274)</f>
        <v>0</v>
      </c>
      <c r="M8" s="23"/>
      <c r="N8" s="23"/>
      <c r="O8" s="23">
        <f>(O270-O263)-(O273-O274)</f>
        <v>0</v>
      </c>
      <c r="P8" s="23">
        <f>(P270-P263)-(P273-P274)</f>
        <v>0</v>
      </c>
      <c r="Q8" s="23">
        <f>(Q270-Q263)-(Q273-Q274)</f>
        <v>0</v>
      </c>
      <c r="R8" s="23">
        <f>(R270-R263)-(R273-R274)</f>
        <v>0</v>
      </c>
      <c r="S8" s="23">
        <f>(S270-S263)-(S273-S274)</f>
        <v>0</v>
      </c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 t="str">
        <f>"letina "</f>
        <v xml:space="preserve">letina </v>
      </c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BE8" s="23"/>
      <c r="BF8" s="23"/>
      <c r="BG8" s="23"/>
      <c r="BH8" s="98"/>
      <c r="BI8" s="23"/>
      <c r="BJ8" s="23"/>
      <c r="BK8" s="23"/>
      <c r="BL8" s="23"/>
      <c r="BM8" s="23"/>
      <c r="BN8" s="23"/>
      <c r="BO8" s="23"/>
      <c r="BP8" s="23"/>
    </row>
    <row r="9" spans="8:68" x14ac:dyDescent="0.25">
      <c r="K9" s="23">
        <f>(K308-K301)-(K311-K312)</f>
        <v>0</v>
      </c>
      <c r="L9" s="23">
        <f>(L308-L301)-(L311-L312)</f>
        <v>0</v>
      </c>
      <c r="M9" s="23"/>
      <c r="N9" s="23"/>
      <c r="O9" s="23">
        <f>(O308-O301)-(O311-O312)</f>
        <v>0</v>
      </c>
      <c r="P9" s="23">
        <f>(P308-P301)-(P311-P312)</f>
        <v>0</v>
      </c>
      <c r="Q9" s="23">
        <f>(Q308-Q301)-(Q311-Q312)</f>
        <v>0</v>
      </c>
      <c r="R9" s="23">
        <f>(R308-R301)-(R311-R312)</f>
        <v>0</v>
      </c>
      <c r="S9" s="23">
        <f>(S308-S301)-(S311-S312)</f>
        <v>0</v>
      </c>
      <c r="T9" s="23"/>
      <c r="U9" s="23"/>
      <c r="V9" s="23"/>
      <c r="W9" s="23"/>
      <c r="X9" s="23"/>
      <c r="Y9" s="23"/>
      <c r="Z9" s="23"/>
      <c r="AA9" s="23"/>
      <c r="AB9" s="23"/>
      <c r="AD9" s="23"/>
      <c r="AF9" s="23" t="str">
        <f>"prva ocena letine "</f>
        <v xml:space="preserve">prva ocena letine </v>
      </c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BE9" s="23"/>
      <c r="BF9" s="23"/>
      <c r="BG9" s="23"/>
      <c r="BH9" s="98"/>
      <c r="BI9" s="23"/>
      <c r="BJ9" s="23"/>
      <c r="BK9" s="23"/>
      <c r="BL9" s="23"/>
      <c r="BM9" s="23"/>
      <c r="BN9" s="23"/>
      <c r="BO9" s="23"/>
      <c r="BP9" s="23"/>
    </row>
    <row r="10" spans="8:68" x14ac:dyDescent="0.25">
      <c r="K10" s="23">
        <f>(K346-K339)-(K349-K350)</f>
        <v>0</v>
      </c>
      <c r="L10" s="23">
        <f>(L346-L339)-(L349-L350)</f>
        <v>0</v>
      </c>
      <c r="M10" s="23"/>
      <c r="N10" s="23"/>
      <c r="O10" s="23">
        <f>(O346-O339)-(O349-O350)</f>
        <v>0</v>
      </c>
      <c r="P10" s="23">
        <f>(P346-P339)-(P349-P350)</f>
        <v>0</v>
      </c>
      <c r="Q10" s="23">
        <f>(Q346-Q339)-(Q349-Q350)</f>
        <v>0</v>
      </c>
      <c r="R10" s="23">
        <f>(R346-R339)-(R349-R350)</f>
        <v>0</v>
      </c>
      <c r="S10" s="23">
        <f>(S346-S339)-(S349-S350)</f>
        <v>0</v>
      </c>
      <c r="T10" s="23"/>
      <c r="U10" s="23"/>
      <c r="V10" s="23"/>
      <c r="W10" s="23"/>
      <c r="X10" s="23"/>
      <c r="Y10" s="23"/>
      <c r="Z10" s="23"/>
      <c r="AA10" s="23"/>
      <c r="AB10" s="23"/>
      <c r="AD10" s="23"/>
      <c r="AF10" s="332" t="s">
        <v>255</v>
      </c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BE10" s="23"/>
      <c r="BF10" s="23"/>
      <c r="BG10" s="23"/>
      <c r="BH10" s="98"/>
      <c r="BI10" s="23"/>
      <c r="BJ10" s="23"/>
      <c r="BK10" s="23"/>
      <c r="BL10" s="23"/>
      <c r="BM10" s="23"/>
      <c r="BN10" s="23"/>
      <c r="BO10" s="23"/>
      <c r="BP10" s="23"/>
    </row>
    <row r="11" spans="8:68" x14ac:dyDescent="0.25">
      <c r="K11" s="23">
        <f>(K384-K377)-(K387-K388)</f>
        <v>0</v>
      </c>
      <c r="L11" s="23">
        <f>(L384-L377)-(L387-L388)</f>
        <v>0</v>
      </c>
      <c r="M11" s="23"/>
      <c r="N11" s="23"/>
      <c r="O11" s="23">
        <f>(O384-O377)-(O387-O388)</f>
        <v>0</v>
      </c>
      <c r="P11" s="23">
        <f>(P384-P377)-(P387-P388)</f>
        <v>0</v>
      </c>
      <c r="Q11" s="23">
        <f>(Q384-Q377)-(Q387-Q388)</f>
        <v>0</v>
      </c>
      <c r="R11" s="23">
        <f>(R384-R377)-(R387-R388)</f>
        <v>0</v>
      </c>
      <c r="S11" s="23">
        <f>(S384-S377)-(S387-S388)</f>
        <v>0</v>
      </c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BE11" s="23"/>
      <c r="BF11" s="23"/>
      <c r="BG11" s="23"/>
      <c r="BH11" s="98"/>
      <c r="BI11" s="23"/>
      <c r="BJ11" s="23"/>
      <c r="BK11" s="23"/>
      <c r="BL11" s="23"/>
      <c r="BM11" s="23"/>
      <c r="BN11" s="23"/>
      <c r="BO11" s="23"/>
      <c r="BP11" s="23"/>
    </row>
    <row r="12" spans="8:68" x14ac:dyDescent="0.25">
      <c r="K12" s="23">
        <f>(K422-K415)-(K425-K426)</f>
        <v>0</v>
      </c>
      <c r="L12" s="23">
        <f>(L422-L415)-(L425-L426)</f>
        <v>0</v>
      </c>
      <c r="M12" s="23"/>
      <c r="N12" s="23"/>
      <c r="O12" s="23">
        <f>(O422-O415)-(O425-O426)</f>
        <v>-1.8189894035458565E-12</v>
      </c>
      <c r="P12" s="23">
        <f>(P422-P415)-(P425-P426)</f>
        <v>3.637978807091713E-12</v>
      </c>
      <c r="Q12" s="23">
        <f>(Q422-Q415)-(Q425-Q426)</f>
        <v>0</v>
      </c>
      <c r="R12" s="23">
        <f>(R422-R415)-(R425-R426)</f>
        <v>0</v>
      </c>
      <c r="S12" s="23">
        <f>(S422-S415)-(S425-S426)</f>
        <v>0</v>
      </c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BE12" s="23"/>
      <c r="BF12" s="23"/>
      <c r="BG12" s="23"/>
      <c r="BH12" s="98"/>
      <c r="BI12" s="23"/>
      <c r="BJ12" s="23"/>
      <c r="BK12" s="23"/>
      <c r="BL12" s="23"/>
      <c r="BM12" s="23"/>
      <c r="BN12" s="23"/>
      <c r="BO12" s="23"/>
      <c r="BP12" s="23"/>
    </row>
    <row r="13" spans="8:68" hidden="1" x14ac:dyDescent="0.25"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BE13" s="23"/>
      <c r="BF13" s="23"/>
      <c r="BG13" s="23"/>
      <c r="BH13" s="98"/>
      <c r="BI13" s="23"/>
      <c r="BJ13" s="23"/>
      <c r="BK13" s="23"/>
      <c r="BL13" s="23"/>
      <c r="BM13" s="23"/>
      <c r="BN13" s="23"/>
      <c r="BO13" s="23"/>
      <c r="BP13" s="23"/>
    </row>
    <row r="14" spans="8:68" hidden="1" x14ac:dyDescent="0.25">
      <c r="H14" s="109"/>
      <c r="I14" s="23"/>
      <c r="BC14" s="23"/>
    </row>
    <row r="15" spans="8:68" ht="12.75" hidden="1" customHeight="1" x14ac:dyDescent="0.25">
      <c r="H15" s="109"/>
      <c r="J15" s="102"/>
      <c r="K15" s="30"/>
      <c r="L15" s="30"/>
      <c r="M15" s="30"/>
      <c r="N15" s="30"/>
      <c r="O15" s="30"/>
      <c r="P15" s="30"/>
      <c r="Q15" s="30"/>
      <c r="R15" s="30"/>
      <c r="S15" s="30"/>
      <c r="T15" s="30"/>
      <c r="BD15" s="102"/>
      <c r="BE15" s="30"/>
      <c r="BF15" s="30"/>
      <c r="BG15" s="30"/>
      <c r="BH15" s="99"/>
      <c r="BI15" s="30"/>
      <c r="BJ15" s="30"/>
      <c r="BK15" s="30"/>
      <c r="BL15" s="30"/>
      <c r="BM15" s="30"/>
      <c r="BN15" s="30"/>
      <c r="BO15" s="30"/>
      <c r="BP15" s="30"/>
    </row>
    <row r="16" spans="8:68" ht="12.75" hidden="1" customHeight="1" x14ac:dyDescent="0.25">
      <c r="H16" s="109"/>
      <c r="J16" s="102"/>
      <c r="K16" s="30"/>
      <c r="L16" s="30"/>
      <c r="M16" s="30"/>
      <c r="N16" s="30"/>
      <c r="O16" s="30"/>
      <c r="P16" s="30"/>
      <c r="Q16" s="30"/>
      <c r="R16" s="30"/>
      <c r="S16" s="30"/>
      <c r="T16" s="30"/>
      <c r="BD16" s="102"/>
      <c r="BE16" s="30"/>
      <c r="BF16" s="30"/>
      <c r="BG16" s="30"/>
      <c r="BH16" s="99"/>
      <c r="BI16" s="30"/>
      <c r="BJ16" s="30"/>
      <c r="BK16" s="30"/>
      <c r="BL16" s="30"/>
      <c r="BM16" s="30"/>
      <c r="BN16" s="30"/>
      <c r="BO16" s="30"/>
      <c r="BP16" s="30"/>
    </row>
    <row r="17" spans="8:68" ht="12.75" hidden="1" customHeight="1" x14ac:dyDescent="0.25">
      <c r="H17" s="109"/>
      <c r="J17" s="102"/>
      <c r="K17" s="30"/>
      <c r="L17" s="30"/>
      <c r="M17" s="30"/>
      <c r="N17" s="30"/>
      <c r="O17" s="30"/>
      <c r="P17" s="30"/>
      <c r="Q17" s="30"/>
      <c r="R17" s="30"/>
      <c r="S17" s="30"/>
      <c r="T17" s="30"/>
      <c r="BD17" s="102"/>
      <c r="BE17" s="30"/>
      <c r="BF17" s="30"/>
      <c r="BG17" s="30"/>
      <c r="BH17" s="99"/>
      <c r="BI17" s="30"/>
      <c r="BJ17" s="30"/>
      <c r="BK17" s="30"/>
      <c r="BL17" s="30"/>
      <c r="BM17" s="30"/>
      <c r="BN17" s="30"/>
      <c r="BO17" s="30"/>
      <c r="BP17" s="30"/>
    </row>
    <row r="18" spans="8:68" ht="12.75" hidden="1" customHeight="1" x14ac:dyDescent="0.25">
      <c r="H18" s="109"/>
      <c r="J18" s="102"/>
      <c r="K18" s="30"/>
      <c r="L18" s="30"/>
      <c r="M18" s="30"/>
      <c r="N18" s="30"/>
      <c r="O18" s="30"/>
      <c r="P18" s="30"/>
      <c r="Q18" s="30"/>
      <c r="R18" s="30"/>
      <c r="S18" s="30"/>
      <c r="T18" s="30"/>
      <c r="BD18" s="102"/>
      <c r="BE18" s="30"/>
      <c r="BF18" s="30"/>
      <c r="BG18" s="30"/>
      <c r="BH18" s="99"/>
      <c r="BI18" s="30"/>
      <c r="BJ18" s="30"/>
      <c r="BK18" s="30"/>
      <c r="BL18" s="30"/>
      <c r="BM18" s="30"/>
      <c r="BN18" s="30"/>
      <c r="BO18" s="30"/>
      <c r="BP18" s="30"/>
    </row>
    <row r="19" spans="8:68" ht="12.75" hidden="1" customHeight="1" x14ac:dyDescent="0.25">
      <c r="H19" s="109"/>
      <c r="J19" s="102"/>
      <c r="K19" s="30"/>
      <c r="L19" s="30"/>
      <c r="M19" s="30"/>
      <c r="N19" s="30"/>
      <c r="O19" s="30"/>
      <c r="P19" s="30"/>
      <c r="Q19" s="30"/>
      <c r="R19" s="30"/>
      <c r="S19" s="30"/>
      <c r="T19" s="30"/>
      <c r="BD19" s="102"/>
      <c r="BE19" s="30"/>
      <c r="BF19" s="30"/>
      <c r="BG19" s="30"/>
      <c r="BH19" s="99"/>
      <c r="BI19" s="30"/>
      <c r="BJ19" s="30"/>
      <c r="BK19" s="30"/>
      <c r="BL19" s="30"/>
      <c r="BM19" s="30"/>
      <c r="BN19" s="30"/>
      <c r="BO19" s="30"/>
      <c r="BP19" s="30"/>
    </row>
    <row r="20" spans="8:68" ht="12.75" hidden="1" customHeight="1" x14ac:dyDescent="0.25">
      <c r="H20" s="109"/>
      <c r="J20" s="102"/>
      <c r="K20" s="30"/>
      <c r="L20" s="30"/>
      <c r="M20" s="30"/>
      <c r="N20" s="30"/>
      <c r="O20" s="30"/>
      <c r="P20" s="30"/>
      <c r="Q20" s="30"/>
      <c r="R20" s="30"/>
      <c r="S20" s="30"/>
      <c r="T20" s="30"/>
      <c r="BD20" s="102"/>
      <c r="BE20" s="30"/>
      <c r="BF20" s="30"/>
      <c r="BG20" s="30"/>
      <c r="BH20" s="99"/>
      <c r="BI20" s="30"/>
      <c r="BJ20" s="30"/>
      <c r="BK20" s="30"/>
      <c r="BL20" s="30"/>
      <c r="BM20" s="30"/>
      <c r="BN20" s="30"/>
      <c r="BO20" s="30"/>
      <c r="BP20" s="30"/>
    </row>
    <row r="21" spans="8:68" ht="12.75" hidden="1" customHeight="1" x14ac:dyDescent="0.25">
      <c r="H21" s="109"/>
      <c r="J21" s="102"/>
      <c r="K21" s="30"/>
      <c r="L21" s="30"/>
      <c r="M21" s="30"/>
      <c r="N21" s="30"/>
      <c r="O21" s="30"/>
      <c r="P21" s="30"/>
      <c r="Q21" s="30"/>
      <c r="R21" s="30"/>
      <c r="S21" s="30"/>
      <c r="T21" s="30"/>
      <c r="BD21" s="102"/>
      <c r="BE21" s="30"/>
      <c r="BF21" s="30"/>
      <c r="BG21" s="30"/>
      <c r="BH21" s="99"/>
      <c r="BI21" s="30"/>
      <c r="BJ21" s="30"/>
      <c r="BK21" s="30"/>
      <c r="BL21" s="30"/>
      <c r="BM21" s="30"/>
      <c r="BN21" s="30"/>
      <c r="BO21" s="30"/>
      <c r="BP21" s="30"/>
    </row>
    <row r="22" spans="8:68" ht="12.75" hidden="1" customHeight="1" x14ac:dyDescent="0.25">
      <c r="H22" s="109"/>
      <c r="J22" s="102"/>
      <c r="K22" s="30"/>
      <c r="L22" s="30"/>
      <c r="M22" s="30"/>
      <c r="N22" s="30"/>
      <c r="O22" s="30"/>
      <c r="P22" s="30"/>
      <c r="Q22" s="30"/>
      <c r="R22" s="30"/>
      <c r="S22" s="30"/>
      <c r="T22" s="30"/>
      <c r="BD22" s="102"/>
      <c r="BE22" s="30"/>
      <c r="BF22" s="30"/>
      <c r="BG22" s="30"/>
      <c r="BH22" s="99"/>
      <c r="BI22" s="30"/>
      <c r="BJ22" s="30"/>
      <c r="BK22" s="30"/>
      <c r="BL22" s="30"/>
      <c r="BM22" s="30"/>
      <c r="BN22" s="30"/>
      <c r="BO22" s="30"/>
      <c r="BP22" s="30"/>
    </row>
    <row r="23" spans="8:68" ht="12.75" hidden="1" customHeight="1" x14ac:dyDescent="0.25">
      <c r="H23" s="109"/>
      <c r="J23" s="102"/>
      <c r="K23" s="30"/>
      <c r="L23" s="30"/>
      <c r="M23" s="30"/>
      <c r="N23" s="30"/>
      <c r="O23" s="30"/>
      <c r="P23" s="30"/>
      <c r="Q23" s="30"/>
      <c r="R23" s="30"/>
      <c r="S23" s="30"/>
      <c r="T23" s="30"/>
      <c r="BD23" s="102"/>
      <c r="BE23" s="30"/>
      <c r="BF23" s="30"/>
      <c r="BG23" s="30"/>
      <c r="BH23" s="99"/>
      <c r="BI23" s="30"/>
      <c r="BJ23" s="30"/>
      <c r="BK23" s="30"/>
      <c r="BL23" s="30"/>
      <c r="BM23" s="30"/>
      <c r="BN23" s="30"/>
      <c r="BO23" s="30"/>
      <c r="BP23" s="30"/>
    </row>
    <row r="24" spans="8:68" ht="12.75" hidden="1" customHeight="1" x14ac:dyDescent="0.25">
      <c r="H24" s="109"/>
      <c r="J24" s="102"/>
      <c r="K24" s="30"/>
      <c r="L24" s="30"/>
      <c r="M24" s="30"/>
      <c r="N24" s="30"/>
      <c r="O24" s="30"/>
      <c r="P24" s="30"/>
      <c r="Q24" s="30"/>
      <c r="R24" s="30"/>
      <c r="S24" s="30"/>
      <c r="T24" s="30"/>
      <c r="BD24" s="102"/>
      <c r="BE24" s="30"/>
      <c r="BF24" s="30"/>
      <c r="BG24" s="30"/>
      <c r="BH24" s="99"/>
      <c r="BI24" s="30"/>
      <c r="BJ24" s="30"/>
      <c r="BK24" s="30"/>
      <c r="BL24" s="30"/>
      <c r="BM24" s="30"/>
      <c r="BN24" s="30"/>
      <c r="BO24" s="30"/>
      <c r="BP24" s="30"/>
    </row>
    <row r="25" spans="8:68" ht="12.75" hidden="1" customHeight="1" x14ac:dyDescent="0.25">
      <c r="H25" s="109"/>
      <c r="J25" s="102"/>
      <c r="K25" s="30"/>
      <c r="L25" s="30"/>
      <c r="M25" s="30"/>
      <c r="N25" s="30"/>
      <c r="O25" s="30"/>
      <c r="P25" s="30"/>
      <c r="Q25" s="30"/>
      <c r="R25" s="30"/>
      <c r="S25" s="30"/>
      <c r="T25" s="30"/>
      <c r="BD25" s="102"/>
      <c r="BE25" s="30"/>
      <c r="BF25" s="30"/>
      <c r="BG25" s="30"/>
      <c r="BH25" s="99"/>
      <c r="BI25" s="30"/>
      <c r="BJ25" s="30"/>
      <c r="BK25" s="30"/>
      <c r="BL25" s="30"/>
      <c r="BM25" s="30"/>
      <c r="BN25" s="30"/>
      <c r="BO25" s="30"/>
      <c r="BP25" s="30"/>
    </row>
    <row r="26" spans="8:68" ht="12.75" hidden="1" customHeight="1" x14ac:dyDescent="0.25">
      <c r="H26" s="109"/>
      <c r="J26" s="100"/>
      <c r="K26" s="30"/>
      <c r="L26" s="30"/>
      <c r="M26" s="30"/>
      <c r="N26" s="30"/>
      <c r="O26" s="30"/>
      <c r="P26" s="30"/>
      <c r="Q26" s="30"/>
      <c r="R26" s="30"/>
      <c r="S26" s="30"/>
      <c r="T26" s="30"/>
      <c r="BD26" s="100"/>
      <c r="BE26" s="30"/>
      <c r="BF26" s="30"/>
      <c r="BG26" s="30"/>
      <c r="BH26" s="99"/>
      <c r="BI26" s="30"/>
      <c r="BJ26" s="30"/>
      <c r="BK26" s="30"/>
      <c r="BL26" s="30"/>
      <c r="BM26" s="30"/>
      <c r="BN26" s="30"/>
      <c r="BO26" s="30"/>
      <c r="BP26" s="30"/>
    </row>
    <row r="27" spans="8:68" ht="12.75" hidden="1" customHeight="1" x14ac:dyDescent="0.25">
      <c r="H27" s="109"/>
      <c r="J27" s="100"/>
      <c r="K27" s="30"/>
      <c r="L27" s="30"/>
      <c r="M27" s="30"/>
      <c r="N27" s="30"/>
      <c r="O27" s="30"/>
      <c r="P27" s="30"/>
      <c r="Q27" s="30"/>
      <c r="R27" s="30"/>
      <c r="S27" s="30"/>
      <c r="T27" s="30"/>
      <c r="BD27" s="100"/>
      <c r="BE27" s="30"/>
      <c r="BF27" s="30"/>
      <c r="BG27" s="30"/>
      <c r="BH27" s="99"/>
      <c r="BI27" s="30"/>
      <c r="BJ27" s="30"/>
      <c r="BK27" s="30"/>
      <c r="BL27" s="30"/>
      <c r="BM27" s="30"/>
      <c r="BN27" s="30"/>
      <c r="BO27" s="30"/>
      <c r="BP27" s="30"/>
    </row>
    <row r="28" spans="8:68" ht="12.75" hidden="1" customHeight="1" x14ac:dyDescent="0.25">
      <c r="H28" s="109"/>
      <c r="J28" s="100"/>
      <c r="K28" s="30"/>
      <c r="L28" s="30"/>
      <c r="M28" s="30"/>
      <c r="N28" s="30"/>
      <c r="O28" s="30"/>
      <c r="P28" s="30"/>
      <c r="Q28" s="30"/>
      <c r="R28" s="30"/>
      <c r="S28" s="30"/>
      <c r="T28" s="30"/>
      <c r="BD28" s="100"/>
      <c r="BE28" s="30"/>
      <c r="BF28" s="30"/>
      <c r="BG28" s="30"/>
      <c r="BH28" s="99"/>
      <c r="BI28" s="30"/>
      <c r="BJ28" s="30"/>
      <c r="BK28" s="30"/>
      <c r="BL28" s="30"/>
      <c r="BM28" s="30"/>
      <c r="BN28" s="30"/>
      <c r="BO28" s="30"/>
      <c r="BP28" s="30"/>
    </row>
    <row r="29" spans="8:68" ht="12.75" hidden="1" customHeight="1" x14ac:dyDescent="0.25">
      <c r="H29" s="109"/>
      <c r="J29" s="100"/>
      <c r="K29" s="30"/>
      <c r="L29" s="30"/>
      <c r="M29" s="30"/>
      <c r="N29" s="30"/>
      <c r="O29" s="30"/>
      <c r="P29" s="30"/>
      <c r="Q29" s="30"/>
      <c r="R29" s="30"/>
      <c r="S29" s="30"/>
      <c r="T29" s="30"/>
      <c r="BD29" s="100"/>
      <c r="BE29" s="30"/>
      <c r="BF29" s="30"/>
      <c r="BG29" s="30"/>
      <c r="BH29" s="99"/>
      <c r="BI29" s="30"/>
      <c r="BJ29" s="30"/>
      <c r="BK29" s="30"/>
      <c r="BL29" s="30"/>
      <c r="BM29" s="30"/>
      <c r="BN29" s="30"/>
      <c r="BO29" s="30"/>
      <c r="BP29" s="30"/>
    </row>
    <row r="30" spans="8:68" ht="12.75" hidden="1" customHeight="1" x14ac:dyDescent="0.25">
      <c r="H30" s="109"/>
      <c r="J30" s="100"/>
      <c r="K30" s="30"/>
      <c r="L30" s="30"/>
      <c r="M30" s="30"/>
      <c r="N30" s="30"/>
      <c r="O30" s="30"/>
      <c r="P30" s="30"/>
      <c r="Q30" s="30"/>
      <c r="R30" s="30"/>
      <c r="S30" s="30"/>
      <c r="T30" s="30"/>
      <c r="BD30" s="100"/>
      <c r="BE30" s="30"/>
      <c r="BF30" s="30"/>
      <c r="BG30" s="30"/>
      <c r="BH30" s="99"/>
      <c r="BI30" s="30"/>
      <c r="BJ30" s="30"/>
      <c r="BK30" s="30"/>
      <c r="BL30" s="30"/>
      <c r="BM30" s="30"/>
      <c r="BN30" s="30"/>
      <c r="BO30" s="30"/>
      <c r="BP30" s="30"/>
    </row>
    <row r="31" spans="8:68" ht="12.75" hidden="1" customHeight="1" x14ac:dyDescent="0.25">
      <c r="H31" s="109"/>
      <c r="J31" s="100"/>
      <c r="K31" s="30"/>
      <c r="L31" s="30"/>
      <c r="M31" s="30"/>
      <c r="N31" s="30"/>
      <c r="O31" s="30"/>
      <c r="P31" s="30"/>
      <c r="Q31" s="30"/>
      <c r="R31" s="30"/>
      <c r="S31" s="30"/>
      <c r="T31" s="30"/>
      <c r="BD31" s="100"/>
      <c r="BE31" s="30"/>
      <c r="BF31" s="30"/>
      <c r="BG31" s="30"/>
      <c r="BH31" s="99"/>
      <c r="BI31" s="30"/>
      <c r="BJ31" s="30"/>
      <c r="BK31" s="30"/>
      <c r="BL31" s="30"/>
      <c r="BM31" s="30"/>
      <c r="BN31" s="30"/>
      <c r="BO31" s="30"/>
      <c r="BP31" s="30"/>
    </row>
    <row r="32" spans="8:68" ht="12.75" hidden="1" customHeight="1" x14ac:dyDescent="0.25">
      <c r="H32" s="109"/>
      <c r="J32" s="100"/>
      <c r="K32" s="30"/>
      <c r="L32" s="30"/>
      <c r="M32" s="30"/>
      <c r="N32" s="30"/>
      <c r="O32" s="30"/>
      <c r="P32" s="30"/>
      <c r="Q32" s="30"/>
      <c r="R32" s="30"/>
      <c r="S32" s="30"/>
      <c r="T32" s="30"/>
      <c r="BD32" s="100"/>
      <c r="BE32" s="30"/>
      <c r="BF32" s="30"/>
      <c r="BG32" s="30"/>
      <c r="BH32" s="99"/>
      <c r="BI32" s="30"/>
      <c r="BJ32" s="30"/>
      <c r="BK32" s="30"/>
      <c r="BL32" s="30"/>
      <c r="BM32" s="30"/>
      <c r="BN32" s="30"/>
      <c r="BO32" s="30"/>
      <c r="BP32" s="30"/>
    </row>
    <row r="33" spans="8:68" ht="12.75" hidden="1" customHeight="1" x14ac:dyDescent="0.25">
      <c r="H33" s="109"/>
      <c r="J33" s="100"/>
      <c r="K33" s="30"/>
      <c r="L33" s="30"/>
      <c r="M33" s="30"/>
      <c r="N33" s="30"/>
      <c r="O33" s="30"/>
      <c r="P33" s="30"/>
      <c r="Q33" s="30"/>
      <c r="R33" s="30"/>
      <c r="S33" s="30"/>
      <c r="T33" s="30"/>
      <c r="BD33" s="100"/>
      <c r="BE33" s="30"/>
      <c r="BF33" s="30"/>
      <c r="BG33" s="30"/>
      <c r="BH33" s="99"/>
      <c r="BI33" s="30"/>
      <c r="BJ33" s="30"/>
      <c r="BK33" s="30"/>
      <c r="BL33" s="30"/>
      <c r="BM33" s="30"/>
      <c r="BN33" s="30"/>
      <c r="BO33" s="30"/>
      <c r="BP33" s="30"/>
    </row>
    <row r="34" spans="8:68" ht="12.75" hidden="1" customHeight="1" x14ac:dyDescent="0.25">
      <c r="H34" s="109"/>
      <c r="J34" s="101"/>
      <c r="K34" s="30"/>
      <c r="L34" s="30"/>
      <c r="M34" s="30"/>
      <c r="N34" s="30"/>
      <c r="O34" s="30"/>
      <c r="P34" s="30"/>
      <c r="Q34" s="30"/>
      <c r="R34" s="30"/>
      <c r="S34" s="30"/>
      <c r="T34" s="30"/>
      <c r="BD34" s="101"/>
      <c r="BE34" s="30"/>
      <c r="BF34" s="30"/>
      <c r="BG34" s="30"/>
      <c r="BH34" s="99"/>
      <c r="BI34" s="30"/>
      <c r="BJ34" s="30"/>
      <c r="BK34" s="30"/>
      <c r="BL34" s="30"/>
      <c r="BM34" s="30"/>
      <c r="BN34" s="30"/>
      <c r="BO34" s="30"/>
      <c r="BP34" s="30"/>
    </row>
    <row r="35" spans="8:68" ht="12.75" hidden="1" customHeight="1" x14ac:dyDescent="0.25">
      <c r="H35" s="109"/>
      <c r="J35" s="101"/>
      <c r="K35" s="30"/>
      <c r="L35" s="30"/>
      <c r="M35" s="30"/>
      <c r="N35" s="30"/>
      <c r="O35" s="30"/>
      <c r="P35" s="30"/>
      <c r="Q35" s="30"/>
      <c r="R35" s="30"/>
      <c r="S35" s="30"/>
      <c r="T35" s="30"/>
      <c r="BD35" s="101"/>
      <c r="BE35" s="30"/>
      <c r="BF35" s="30"/>
      <c r="BG35" s="30"/>
      <c r="BH35" s="99"/>
      <c r="BI35" s="30"/>
      <c r="BJ35" s="30"/>
      <c r="BK35" s="30"/>
      <c r="BL35" s="30"/>
      <c r="BM35" s="30"/>
      <c r="BN35" s="30"/>
      <c r="BO35" s="30"/>
      <c r="BP35" s="30"/>
    </row>
    <row r="36" spans="8:68" ht="12.75" hidden="1" customHeight="1" x14ac:dyDescent="0.25">
      <c r="H36" s="109"/>
      <c r="J36" s="101"/>
      <c r="K36" s="30"/>
      <c r="L36" s="30"/>
      <c r="M36" s="30"/>
      <c r="N36" s="30"/>
      <c r="O36" s="30"/>
      <c r="P36" s="30"/>
      <c r="Q36" s="30"/>
      <c r="R36" s="30"/>
      <c r="S36" s="30"/>
      <c r="T36" s="30"/>
      <c r="BD36" s="101"/>
      <c r="BE36" s="30"/>
      <c r="BF36" s="30"/>
      <c r="BG36" s="30"/>
      <c r="BH36" s="99"/>
      <c r="BI36" s="30"/>
      <c r="BJ36" s="30"/>
      <c r="BK36" s="30"/>
      <c r="BL36" s="30"/>
      <c r="BM36" s="30"/>
      <c r="BN36" s="30"/>
      <c r="BO36" s="30"/>
      <c r="BP36" s="30"/>
    </row>
    <row r="37" spans="8:68" ht="12.75" hidden="1" customHeight="1" x14ac:dyDescent="0.25">
      <c r="H37" s="109"/>
      <c r="O37" s="30"/>
      <c r="P37" s="30"/>
      <c r="Q37" s="30"/>
      <c r="R37" s="30"/>
      <c r="S37" s="30"/>
      <c r="T37" s="30"/>
      <c r="BK37" s="30"/>
      <c r="BL37" s="30"/>
      <c r="BM37" s="30"/>
      <c r="BN37" s="30"/>
      <c r="BO37" s="30"/>
      <c r="BP37" s="30"/>
    </row>
    <row r="38" spans="8:68" ht="12.75" hidden="1" customHeight="1" x14ac:dyDescent="0.25">
      <c r="H38" s="109"/>
      <c r="J38" s="101"/>
      <c r="K38" s="30"/>
      <c r="L38" s="30"/>
      <c r="M38" s="30"/>
      <c r="N38" s="30"/>
      <c r="O38" s="30"/>
      <c r="P38" s="30"/>
      <c r="Q38" s="30"/>
      <c r="R38" s="30"/>
      <c r="S38" s="30"/>
      <c r="T38" s="30"/>
      <c r="BD38" s="101"/>
      <c r="BE38" s="30"/>
      <c r="BF38" s="30"/>
      <c r="BG38" s="30"/>
      <c r="BH38" s="99"/>
      <c r="BI38" s="30"/>
      <c r="BJ38" s="30"/>
      <c r="BK38" s="30"/>
      <c r="BL38" s="30"/>
      <c r="BM38" s="30"/>
      <c r="BN38" s="30"/>
      <c r="BO38" s="30"/>
      <c r="BP38" s="30"/>
    </row>
    <row r="39" spans="8:68" ht="12.75" hidden="1" customHeight="1" x14ac:dyDescent="0.25">
      <c r="H39" s="109"/>
      <c r="J39" s="101"/>
      <c r="K39" s="30"/>
      <c r="L39" s="30"/>
      <c r="M39" s="30"/>
      <c r="N39" s="30"/>
      <c r="O39" s="30"/>
      <c r="P39" s="30"/>
      <c r="Q39" s="30"/>
      <c r="R39" s="30"/>
      <c r="S39" s="30"/>
      <c r="T39" s="30"/>
      <c r="BD39" s="101"/>
      <c r="BE39" s="30"/>
      <c r="BF39" s="30"/>
      <c r="BG39" s="30"/>
      <c r="BH39" s="99"/>
      <c r="BI39" s="30"/>
      <c r="BJ39" s="30"/>
      <c r="BK39" s="30"/>
      <c r="BL39" s="30"/>
      <c r="BM39" s="30"/>
      <c r="BN39" s="30"/>
      <c r="BO39" s="30"/>
      <c r="BP39" s="30"/>
    </row>
    <row r="40" spans="8:68" ht="12.75" hidden="1" customHeight="1" x14ac:dyDescent="0.25">
      <c r="H40" s="109"/>
      <c r="J40" s="101"/>
      <c r="K40" s="30"/>
      <c r="L40" s="30"/>
      <c r="M40" s="30"/>
      <c r="N40" s="30"/>
      <c r="O40" s="30"/>
      <c r="P40" s="30"/>
      <c r="Q40" s="30"/>
      <c r="R40" s="30"/>
      <c r="S40" s="30"/>
      <c r="T40" s="30"/>
      <c r="BD40" s="101"/>
      <c r="BE40" s="30"/>
      <c r="BF40" s="30"/>
      <c r="BG40" s="30"/>
      <c r="BH40" s="99"/>
      <c r="BI40" s="30"/>
      <c r="BJ40" s="30"/>
      <c r="BK40" s="30"/>
      <c r="BL40" s="30"/>
      <c r="BM40" s="30"/>
      <c r="BN40" s="30"/>
      <c r="BO40" s="30"/>
      <c r="BP40" s="30"/>
    </row>
    <row r="41" spans="8:68" ht="12.75" hidden="1" customHeight="1" x14ac:dyDescent="0.25">
      <c r="H41" s="109"/>
      <c r="J41" s="100"/>
      <c r="K41" s="30"/>
      <c r="L41" s="30"/>
      <c r="M41" s="30"/>
      <c r="N41" s="30"/>
      <c r="O41" s="30"/>
      <c r="P41" s="30"/>
      <c r="Q41" s="30"/>
      <c r="R41" s="30"/>
      <c r="S41" s="30"/>
      <c r="T41" s="30"/>
      <c r="BD41" s="100"/>
      <c r="BE41" s="30"/>
      <c r="BF41" s="30"/>
      <c r="BG41" s="30"/>
      <c r="BH41" s="99"/>
      <c r="BI41" s="30"/>
      <c r="BJ41" s="30"/>
      <c r="BK41" s="30"/>
      <c r="BL41" s="30"/>
      <c r="BM41" s="30"/>
      <c r="BN41" s="30"/>
      <c r="BO41" s="30"/>
      <c r="BP41" s="30"/>
    </row>
    <row r="42" spans="8:68" ht="12.75" hidden="1" customHeight="1" x14ac:dyDescent="0.25">
      <c r="H42" s="109"/>
      <c r="J42" s="100"/>
      <c r="K42" s="30"/>
      <c r="L42" s="30"/>
      <c r="M42" s="30"/>
      <c r="N42" s="30"/>
      <c r="O42" s="30"/>
      <c r="P42" s="30"/>
      <c r="Q42" s="30"/>
      <c r="R42" s="30"/>
      <c r="S42" s="30"/>
      <c r="T42" s="30"/>
      <c r="BD42" s="100"/>
      <c r="BE42" s="30"/>
      <c r="BF42" s="30"/>
      <c r="BG42" s="30"/>
      <c r="BH42" s="99"/>
      <c r="BI42" s="30"/>
      <c r="BJ42" s="30"/>
      <c r="BK42" s="30"/>
      <c r="BL42" s="30"/>
      <c r="BM42" s="30"/>
      <c r="BN42" s="30"/>
      <c r="BO42" s="30"/>
      <c r="BP42" s="30"/>
    </row>
    <row r="43" spans="8:68" ht="12.75" hidden="1" customHeight="1" x14ac:dyDescent="0.25">
      <c r="H43" s="109"/>
      <c r="J43" s="100"/>
      <c r="K43" s="30"/>
      <c r="L43" s="30"/>
      <c r="M43" s="30"/>
      <c r="N43" s="30"/>
      <c r="O43" s="30"/>
      <c r="P43" s="30"/>
      <c r="Q43" s="30"/>
      <c r="R43" s="30"/>
      <c r="S43" s="30"/>
      <c r="T43" s="30"/>
      <c r="BD43" s="100"/>
      <c r="BE43" s="30"/>
      <c r="BF43" s="30"/>
      <c r="BG43" s="30"/>
      <c r="BH43" s="99"/>
      <c r="BI43" s="30"/>
      <c r="BJ43" s="30"/>
      <c r="BK43" s="30"/>
      <c r="BL43" s="30"/>
      <c r="BM43" s="30"/>
      <c r="BN43" s="30"/>
      <c r="BO43" s="30"/>
      <c r="BP43" s="30"/>
    </row>
    <row r="44" spans="8:68" ht="12.75" hidden="1" customHeight="1" x14ac:dyDescent="0.25">
      <c r="H44" s="109"/>
      <c r="J44" s="100"/>
      <c r="K44" s="30"/>
      <c r="L44" s="30"/>
      <c r="M44" s="30"/>
      <c r="N44" s="30"/>
      <c r="O44" s="30"/>
      <c r="P44" s="30"/>
      <c r="Q44" s="30"/>
      <c r="R44" s="30"/>
      <c r="S44" s="30"/>
      <c r="T44" s="30"/>
      <c r="BD44" s="100"/>
      <c r="BE44" s="30"/>
      <c r="BF44" s="30"/>
      <c r="BG44" s="30"/>
      <c r="BH44" s="99"/>
      <c r="BI44" s="30"/>
      <c r="BJ44" s="30"/>
      <c r="BK44" s="30"/>
      <c r="BL44" s="30"/>
      <c r="BM44" s="30"/>
      <c r="BN44" s="30"/>
      <c r="BO44" s="30"/>
      <c r="BP44" s="30"/>
    </row>
    <row r="45" spans="8:68" ht="12.75" hidden="1" customHeight="1" x14ac:dyDescent="0.25">
      <c r="H45" s="109"/>
      <c r="J45" s="100"/>
      <c r="K45" s="30"/>
      <c r="L45" s="30"/>
      <c r="M45" s="30"/>
      <c r="N45" s="30"/>
      <c r="O45" s="30"/>
      <c r="P45" s="30"/>
      <c r="Q45" s="30"/>
      <c r="R45" s="30"/>
      <c r="S45" s="30"/>
      <c r="T45" s="30"/>
      <c r="BD45" s="100"/>
      <c r="BE45" s="30"/>
      <c r="BF45" s="30"/>
      <c r="BG45" s="30"/>
      <c r="BH45" s="99"/>
      <c r="BI45" s="30"/>
      <c r="BJ45" s="30"/>
      <c r="BK45" s="30"/>
      <c r="BL45" s="30"/>
      <c r="BM45" s="30"/>
      <c r="BN45" s="30"/>
      <c r="BO45" s="30"/>
      <c r="BP45" s="30"/>
    </row>
    <row r="46" spans="8:68" ht="12.75" hidden="1" customHeight="1" x14ac:dyDescent="0.25">
      <c r="H46" s="109"/>
      <c r="J46" s="100"/>
      <c r="K46" s="30"/>
      <c r="L46" s="30"/>
      <c r="M46" s="30"/>
      <c r="N46" s="30"/>
      <c r="O46" s="30"/>
      <c r="P46" s="30"/>
      <c r="Q46" s="30"/>
      <c r="R46" s="30"/>
      <c r="S46" s="30"/>
      <c r="T46" s="30"/>
      <c r="BD46" s="100"/>
      <c r="BE46" s="30"/>
      <c r="BF46" s="30"/>
      <c r="BG46" s="30"/>
      <c r="BH46" s="99"/>
      <c r="BI46" s="30"/>
      <c r="BJ46" s="30"/>
      <c r="BK46" s="30"/>
      <c r="BL46" s="30"/>
      <c r="BM46" s="30"/>
      <c r="BN46" s="30"/>
      <c r="BO46" s="30"/>
      <c r="BP46" s="30"/>
    </row>
    <row r="47" spans="8:68" ht="12.75" customHeight="1" x14ac:dyDescent="0.25">
      <c r="J47" s="100"/>
      <c r="K47" s="30"/>
      <c r="L47" s="30"/>
      <c r="M47" s="30"/>
      <c r="N47" s="30"/>
      <c r="O47" s="30"/>
      <c r="P47" s="30"/>
      <c r="Q47" s="30"/>
      <c r="R47" s="30"/>
      <c r="S47" s="30"/>
      <c r="T47" s="30"/>
      <c r="Y47" s="23"/>
      <c r="Z47" s="23"/>
      <c r="BD47" s="100"/>
      <c r="BE47" s="30"/>
      <c r="BF47" s="30"/>
      <c r="BG47" s="30"/>
      <c r="BH47" s="99"/>
      <c r="BI47" s="30"/>
      <c r="BJ47" s="30"/>
      <c r="BK47" s="30"/>
      <c r="BL47" s="30"/>
      <c r="BM47" s="30"/>
      <c r="BN47" s="30"/>
      <c r="BO47" s="30"/>
      <c r="BP47" s="30"/>
    </row>
    <row r="48" spans="8:68" ht="12.75" customHeight="1" x14ac:dyDescent="0.25">
      <c r="J48" s="100"/>
      <c r="K48" s="30"/>
      <c r="L48" s="30"/>
      <c r="M48" s="30"/>
      <c r="N48" s="30"/>
      <c r="O48" s="30"/>
      <c r="P48" s="30"/>
      <c r="Q48" s="30"/>
      <c r="R48" s="30"/>
      <c r="S48" s="30"/>
      <c r="T48" s="30"/>
      <c r="BD48" s="100"/>
      <c r="BE48" s="30"/>
      <c r="BF48" s="30"/>
      <c r="BG48" s="30"/>
      <c r="BH48" s="99"/>
      <c r="BI48" s="30"/>
      <c r="BJ48" s="30"/>
      <c r="BK48" s="30"/>
      <c r="BL48" s="30"/>
      <c r="BM48" s="30"/>
      <c r="BN48" s="30"/>
      <c r="BO48" s="30"/>
      <c r="BP48" s="30"/>
    </row>
    <row r="49" spans="1:69" ht="12.75" customHeight="1" x14ac:dyDescent="0.25">
      <c r="J49" s="100"/>
      <c r="K49" s="30"/>
      <c r="L49" s="30"/>
      <c r="M49" s="30"/>
      <c r="N49" s="30"/>
      <c r="O49" s="1">
        <f t="shared" ref="O49:T49" si="0">+$L52</f>
        <v>2021</v>
      </c>
      <c r="P49" s="1">
        <f t="shared" si="0"/>
        <v>2021</v>
      </c>
      <c r="Q49" s="1">
        <f t="shared" si="0"/>
        <v>2021</v>
      </c>
      <c r="R49" s="1">
        <f t="shared" si="0"/>
        <v>2021</v>
      </c>
      <c r="S49" s="1">
        <f t="shared" si="0"/>
        <v>2021</v>
      </c>
      <c r="T49" s="1">
        <f t="shared" si="0"/>
        <v>2021</v>
      </c>
      <c r="W49" s="1">
        <f>+$L52</f>
        <v>2021</v>
      </c>
      <c r="BD49" s="100"/>
      <c r="BE49" s="30"/>
      <c r="BF49" s="30"/>
      <c r="BG49" s="30"/>
      <c r="BH49" s="99"/>
      <c r="BI49" s="30"/>
      <c r="BJ49" s="30"/>
      <c r="BK49" s="30"/>
      <c r="BL49" s="30"/>
      <c r="BM49" s="30"/>
      <c r="BN49" s="30"/>
      <c r="BO49" s="30"/>
      <c r="BP49" s="30"/>
    </row>
    <row r="50" spans="1:69" ht="12.75" customHeight="1" x14ac:dyDescent="0.25">
      <c r="J50" s="97"/>
      <c r="L50" s="331" t="s">
        <v>238</v>
      </c>
      <c r="BD50" s="97"/>
    </row>
    <row r="51" spans="1:69" x14ac:dyDescent="0.25">
      <c r="F51" s="5">
        <v>1</v>
      </c>
      <c r="G51" s="5">
        <f>F51+1</f>
        <v>2</v>
      </c>
      <c r="H51" s="136">
        <f>+G51+1</f>
        <v>3</v>
      </c>
      <c r="I51" s="1">
        <f>+H51+1</f>
        <v>4</v>
      </c>
      <c r="J51" s="1">
        <f>+I51+1</f>
        <v>5</v>
      </c>
      <c r="L51" s="331" t="s">
        <v>238</v>
      </c>
    </row>
    <row r="52" spans="1:69" ht="15.6" x14ac:dyDescent="0.3">
      <c r="K52" s="327">
        <v>2020</v>
      </c>
      <c r="L52" s="327">
        <v>2021</v>
      </c>
      <c r="BC52" s="22"/>
      <c r="BE52" s="9"/>
      <c r="BF52" s="9"/>
    </row>
    <row r="53" spans="1:69" ht="15" customHeight="1" x14ac:dyDescent="0.3">
      <c r="H53" s="134"/>
      <c r="I53" s="215" t="s">
        <v>65</v>
      </c>
      <c r="J53" s="147"/>
      <c r="K53" s="147"/>
      <c r="L53" s="147"/>
      <c r="M53" s="147"/>
      <c r="N53" s="147"/>
      <c r="O53" s="147" t="s">
        <v>100</v>
      </c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8"/>
      <c r="AE53" s="224"/>
      <c r="AF53" s="224"/>
      <c r="AG53" s="224"/>
      <c r="AH53" s="224"/>
      <c r="AI53" s="224"/>
      <c r="AJ53" s="224"/>
      <c r="AK53" s="224"/>
      <c r="AL53" s="224"/>
      <c r="AM53" s="224"/>
      <c r="BC53" s="95"/>
      <c r="BK53" s="96"/>
    </row>
    <row r="54" spans="1:69" ht="15" customHeight="1" x14ac:dyDescent="0.25">
      <c r="A54" s="110"/>
      <c r="B54" s="110"/>
      <c r="C54" s="110"/>
      <c r="D54" s="110"/>
      <c r="E54" s="111"/>
      <c r="F54" s="29"/>
      <c r="G54" s="29"/>
      <c r="H54" s="136" t="e">
        <f>+I56</f>
        <v>#REF!</v>
      </c>
      <c r="I54" s="144" t="s">
        <v>148</v>
      </c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36"/>
      <c r="BC54" s="13"/>
      <c r="BD54" s="91"/>
      <c r="BE54" s="91"/>
      <c r="BF54" s="91"/>
      <c r="BG54" s="91"/>
      <c r="BH54" s="92"/>
      <c r="BI54" s="91"/>
      <c r="BJ54" s="91"/>
      <c r="BK54" s="91"/>
      <c r="BL54" s="91"/>
      <c r="BM54" s="91"/>
      <c r="BN54" s="91"/>
      <c r="BO54" s="91"/>
      <c r="BP54" s="91"/>
    </row>
    <row r="55" spans="1:69" ht="14.25" customHeight="1" x14ac:dyDescent="0.25">
      <c r="A55" s="110"/>
      <c r="B55" s="110"/>
      <c r="C55" s="110"/>
      <c r="D55" s="110"/>
      <c r="E55" s="111"/>
      <c r="F55" s="29"/>
      <c r="G55" s="29"/>
      <c r="H55" s="136" t="e">
        <f>+H54</f>
        <v>#REF!</v>
      </c>
      <c r="I55" s="144" t="s">
        <v>149</v>
      </c>
      <c r="J55" s="140"/>
      <c r="K55" s="143" t="e">
        <f>+F56</f>
        <v>#REF!</v>
      </c>
      <c r="L55" s="143" t="e">
        <f>+K55</f>
        <v>#REF!</v>
      </c>
      <c r="M55" s="143"/>
      <c r="N55" s="143"/>
      <c r="O55" s="143" t="s">
        <v>116</v>
      </c>
      <c r="P55" s="143" t="s">
        <v>117</v>
      </c>
      <c r="Q55" s="143" t="s">
        <v>115</v>
      </c>
      <c r="R55" s="143" t="s">
        <v>156</v>
      </c>
      <c r="S55" s="143" t="s">
        <v>157</v>
      </c>
      <c r="T55" s="143" t="s">
        <v>159</v>
      </c>
      <c r="U55" s="143"/>
      <c r="V55" s="139"/>
      <c r="W55" s="139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36"/>
      <c r="BC55" s="13"/>
      <c r="BD55" s="68"/>
      <c r="BE55" s="12"/>
      <c r="BF55" s="12"/>
      <c r="BG55" s="91"/>
      <c r="BH55" s="68"/>
      <c r="BI55" s="68"/>
      <c r="BJ55" s="68"/>
      <c r="BK55" s="12"/>
      <c r="BL55" s="12"/>
      <c r="BM55" s="12"/>
      <c r="BN55" s="12"/>
      <c r="BO55" s="12"/>
      <c r="BP55" s="12"/>
    </row>
    <row r="56" spans="1:69" ht="15" customHeight="1" x14ac:dyDescent="0.25">
      <c r="F56" s="109" t="e">
        <f>#REF!</f>
        <v>#REF!</v>
      </c>
      <c r="G56" s="94"/>
      <c r="H56" s="136" t="e">
        <f>+H55</f>
        <v>#REF!</v>
      </c>
      <c r="I56" s="149" t="e">
        <v>#REF!</v>
      </c>
      <c r="J56" s="158"/>
      <c r="K56" s="185">
        <f>K$52</f>
        <v>2020</v>
      </c>
      <c r="L56" s="185">
        <f>L$52</f>
        <v>2021</v>
      </c>
      <c r="M56" s="341" t="str">
        <f>"Indeks "&amp;L56&amp;"/"&amp;RIGHT(K56,2)</f>
        <v>Indeks 2021/20</v>
      </c>
      <c r="N56" s="186"/>
      <c r="O56" s="179"/>
      <c r="P56" s="179"/>
      <c r="Q56" s="179" t="str">
        <f>+L56&amp;" "&amp;L$51</f>
        <v>2021 (prva ocena)</v>
      </c>
      <c r="R56" s="179"/>
      <c r="S56" s="179"/>
      <c r="T56" s="179"/>
      <c r="U56" s="142"/>
      <c r="V56" s="142"/>
      <c r="W56" s="179"/>
      <c r="X56" s="179"/>
      <c r="Y56" s="179" t="s">
        <v>160</v>
      </c>
      <c r="Z56" s="179"/>
      <c r="AA56" s="179"/>
      <c r="AB56" s="179"/>
      <c r="AC56" s="66"/>
      <c r="AD56" s="66"/>
      <c r="AN56" s="136"/>
      <c r="BC56" s="103"/>
      <c r="BE56" s="66"/>
      <c r="BF56" s="66"/>
      <c r="BG56" s="91"/>
      <c r="BH56" s="34"/>
      <c r="BI56" s="67"/>
      <c r="BJ56" s="34"/>
      <c r="BK56" s="66"/>
      <c r="BL56" s="66"/>
      <c r="BM56" s="66"/>
      <c r="BN56" s="66"/>
      <c r="BO56" s="66"/>
      <c r="BP56" s="66"/>
    </row>
    <row r="57" spans="1:69" ht="23.25" customHeight="1" x14ac:dyDescent="0.25">
      <c r="H57" s="136" t="e">
        <f>+H56</f>
        <v>#REF!</v>
      </c>
      <c r="I57" s="150" t="s">
        <v>84</v>
      </c>
      <c r="J57" s="158" t="s">
        <v>63</v>
      </c>
      <c r="K57" s="185"/>
      <c r="L57" s="330" t="str">
        <f>IF(ISBLANK(L$51),"",L$51)</f>
        <v>(prva ocena)</v>
      </c>
      <c r="M57" s="342"/>
      <c r="N57" s="186"/>
      <c r="O57" s="187" t="s">
        <v>83</v>
      </c>
      <c r="P57" s="185" t="s">
        <v>82</v>
      </c>
      <c r="Q57" s="214" t="s">
        <v>81</v>
      </c>
      <c r="R57" s="185" t="s">
        <v>80</v>
      </c>
      <c r="S57" s="185" t="s">
        <v>79</v>
      </c>
      <c r="T57" s="205" t="s">
        <v>78</v>
      </c>
      <c r="U57" s="191"/>
      <c r="V57" s="191"/>
      <c r="W57" s="188" t="str">
        <f>+O57</f>
        <v>M 1</v>
      </c>
      <c r="X57" s="185" t="str">
        <f t="shared" ref="X57:AB57" si="1">+P57</f>
        <v>M 2</v>
      </c>
      <c r="Y57" s="214" t="str">
        <f t="shared" si="1"/>
        <v>M 3</v>
      </c>
      <c r="Z57" s="185" t="str">
        <f t="shared" si="1"/>
        <v>M 4</v>
      </c>
      <c r="AA57" s="185" t="str">
        <f t="shared" si="1"/>
        <v>M 5</v>
      </c>
      <c r="AB57" s="188" t="str">
        <f t="shared" si="1"/>
        <v>M 6</v>
      </c>
      <c r="AC57" s="66"/>
      <c r="AD57" s="66"/>
      <c r="AN57" s="136"/>
      <c r="BC57" s="9"/>
      <c r="BD57" s="9"/>
      <c r="BE57" s="66"/>
      <c r="BF57" s="66"/>
      <c r="BG57" s="91"/>
      <c r="BH57" s="34"/>
      <c r="BI57" s="66"/>
      <c r="BJ57" s="66"/>
      <c r="BK57" s="66"/>
      <c r="BL57" s="66"/>
      <c r="BM57" s="66"/>
      <c r="BN57" s="66"/>
      <c r="BO57" s="66"/>
      <c r="BP57" s="66"/>
    </row>
    <row r="58" spans="1:69" ht="11.25" customHeight="1" x14ac:dyDescent="0.25">
      <c r="A58" s="25" t="s">
        <v>22</v>
      </c>
      <c r="H58" s="136" t="e">
        <f>+H56</f>
        <v>#REF!</v>
      </c>
      <c r="I58" s="9" t="s">
        <v>21</v>
      </c>
      <c r="J58" s="159" t="s">
        <v>20</v>
      </c>
      <c r="K58" s="160" t="e">
        <v>#REF!</v>
      </c>
      <c r="L58" s="160" t="e">
        <v>#REF!</v>
      </c>
      <c r="M58" s="160"/>
      <c r="N58" s="78"/>
      <c r="O58" s="178">
        <v>7000</v>
      </c>
      <c r="P58" s="178">
        <v>6500</v>
      </c>
      <c r="Q58" s="178">
        <v>6000</v>
      </c>
      <c r="R58" s="178">
        <v>5500</v>
      </c>
      <c r="S58" s="178">
        <v>5000</v>
      </c>
      <c r="T58" s="178">
        <v>6000</v>
      </c>
      <c r="U58" s="2"/>
      <c r="V58" s="2"/>
      <c r="W58" s="62">
        <f>O58/$Q58*100</f>
        <v>116.66666666666667</v>
      </c>
      <c r="X58" s="180">
        <f t="shared" ref="X58:AA58" si="2">P58/$Q58*100</f>
        <v>108.33333333333333</v>
      </c>
      <c r="Y58" s="180">
        <f t="shared" si="2"/>
        <v>100</v>
      </c>
      <c r="Z58" s="180">
        <f t="shared" si="2"/>
        <v>91.666666666666657</v>
      </c>
      <c r="AA58" s="180">
        <f t="shared" si="2"/>
        <v>83.333333333333343</v>
      </c>
      <c r="AB58" s="62">
        <f>T58/$Q58*100</f>
        <v>100</v>
      </c>
      <c r="AC58" s="82"/>
      <c r="AD58" s="82"/>
      <c r="AN58" s="136"/>
      <c r="BC58" s="9"/>
      <c r="BD58" s="9"/>
      <c r="BE58" s="11"/>
      <c r="BF58" s="11"/>
      <c r="BG58" s="91"/>
      <c r="BH58" s="80"/>
      <c r="BI58" s="78"/>
      <c r="BJ58" s="78"/>
      <c r="BK58" s="11"/>
      <c r="BL58" s="11"/>
      <c r="BM58" s="11"/>
      <c r="BN58" s="11"/>
      <c r="BO58" s="11"/>
      <c r="BP58" s="11"/>
    </row>
    <row r="59" spans="1:69" ht="6" customHeight="1" x14ac:dyDescent="0.25">
      <c r="H59" s="136" t="e">
        <f t="shared" ref="H59:H63" si="3">+H57</f>
        <v>#REF!</v>
      </c>
      <c r="I59" s="9"/>
      <c r="J59" s="159"/>
      <c r="K59" s="161"/>
      <c r="L59" s="161"/>
      <c r="M59" s="160"/>
      <c r="N59" s="78"/>
      <c r="O59" s="161"/>
      <c r="P59" s="161"/>
      <c r="Q59" s="161"/>
      <c r="R59" s="161"/>
      <c r="S59" s="161"/>
      <c r="T59" s="161"/>
      <c r="W59" s="82"/>
      <c r="X59" s="181"/>
      <c r="Y59" s="181"/>
      <c r="Z59" s="181"/>
      <c r="AA59" s="181"/>
      <c r="AB59" s="82"/>
      <c r="AC59" s="82"/>
      <c r="AD59" s="82"/>
      <c r="AN59" s="136"/>
      <c r="BC59" s="9"/>
      <c r="BD59" s="9"/>
      <c r="BE59" s="11"/>
      <c r="BF59" s="11"/>
      <c r="BG59" s="91"/>
      <c r="BH59" s="80"/>
      <c r="BI59" s="78"/>
      <c r="BJ59" s="78"/>
      <c r="BK59" s="11"/>
      <c r="BL59" s="11"/>
      <c r="BM59" s="11"/>
      <c r="BN59" s="11"/>
      <c r="BO59" s="11"/>
      <c r="BP59" s="11"/>
    </row>
    <row r="60" spans="1:69" ht="6" customHeight="1" x14ac:dyDescent="0.25">
      <c r="H60" s="136" t="e">
        <f t="shared" si="3"/>
        <v>#REF!</v>
      </c>
      <c r="I60" s="9"/>
      <c r="J60" s="162"/>
      <c r="K60" s="161"/>
      <c r="L60" s="161"/>
      <c r="M60" s="161"/>
      <c r="N60" s="137"/>
      <c r="O60" s="161"/>
      <c r="P60" s="161"/>
      <c r="Q60" s="161"/>
      <c r="R60" s="161"/>
      <c r="S60" s="161"/>
      <c r="T60" s="161"/>
      <c r="W60" s="84"/>
      <c r="X60" s="182"/>
      <c r="Y60" s="182"/>
      <c r="Z60" s="182"/>
      <c r="AA60" s="182"/>
      <c r="AB60" s="84"/>
      <c r="AC60" s="82"/>
      <c r="AD60" s="82"/>
      <c r="AN60" s="136"/>
      <c r="BC60" s="9"/>
      <c r="BE60" s="78"/>
      <c r="BF60" s="78"/>
      <c r="BG60" s="91"/>
      <c r="BH60" s="80"/>
      <c r="BI60" s="78"/>
      <c r="BJ60" s="78"/>
      <c r="BK60" s="78"/>
      <c r="BL60" s="78"/>
      <c r="BM60" s="78"/>
      <c r="BN60" s="78"/>
      <c r="BO60" s="78"/>
      <c r="BP60" s="78"/>
    </row>
    <row r="61" spans="1:69" ht="11.25" customHeight="1" x14ac:dyDescent="0.25">
      <c r="A61" s="25" t="s">
        <v>91</v>
      </c>
      <c r="H61" s="136" t="e">
        <f t="shared" si="3"/>
        <v>#REF!</v>
      </c>
      <c r="I61" s="9" t="s">
        <v>90</v>
      </c>
      <c r="J61" s="159" t="s">
        <v>89</v>
      </c>
      <c r="K61" s="163" t="e">
        <v>#REF!</v>
      </c>
      <c r="L61" s="163" t="e">
        <v>#REF!</v>
      </c>
      <c r="M61" s="164" t="e">
        <f>L61/K61*100</f>
        <v>#REF!</v>
      </c>
      <c r="N61" s="8"/>
      <c r="O61" s="163">
        <v>1</v>
      </c>
      <c r="P61" s="163">
        <v>1</v>
      </c>
      <c r="Q61" s="163">
        <v>1</v>
      </c>
      <c r="R61" s="163">
        <v>1</v>
      </c>
      <c r="S61" s="163">
        <v>1</v>
      </c>
      <c r="T61" s="163">
        <v>5</v>
      </c>
      <c r="U61" s="9"/>
      <c r="V61" s="9"/>
      <c r="W61" s="84">
        <f t="shared" ref="W61:AB90" si="4">O61/$Q61*100</f>
        <v>100</v>
      </c>
      <c r="X61" s="182">
        <f t="shared" si="4"/>
        <v>100</v>
      </c>
      <c r="Y61" s="182">
        <f t="shared" si="4"/>
        <v>100</v>
      </c>
      <c r="Z61" s="182">
        <f t="shared" si="4"/>
        <v>100</v>
      </c>
      <c r="AA61" s="182">
        <f t="shared" si="4"/>
        <v>100</v>
      </c>
      <c r="AB61" s="84">
        <f t="shared" si="4"/>
        <v>500</v>
      </c>
      <c r="AC61" s="26"/>
      <c r="AD61" s="26"/>
      <c r="AN61" s="136"/>
      <c r="BC61" s="9"/>
      <c r="BE61" s="7"/>
      <c r="BF61" s="7"/>
      <c r="BG61" s="91"/>
      <c r="BH61" s="8"/>
      <c r="BI61" s="4"/>
      <c r="BJ61" s="18"/>
      <c r="BK61" s="7"/>
      <c r="BL61" s="7"/>
      <c r="BM61" s="7"/>
      <c r="BN61" s="7"/>
      <c r="BO61" s="7"/>
      <c r="BP61" s="7"/>
    </row>
    <row r="62" spans="1:69" ht="11.25" customHeight="1" x14ac:dyDescent="0.25">
      <c r="H62" s="136" t="e">
        <f t="shared" si="3"/>
        <v>#REF!</v>
      </c>
      <c r="I62" s="151" t="s">
        <v>62</v>
      </c>
      <c r="J62" s="165"/>
      <c r="K62" s="166"/>
      <c r="L62" s="166"/>
      <c r="M62" s="167"/>
      <c r="O62" s="166"/>
      <c r="P62" s="166"/>
      <c r="Q62" s="166"/>
      <c r="R62" s="166"/>
      <c r="S62" s="166"/>
      <c r="T62" s="166"/>
      <c r="W62" s="154"/>
      <c r="X62" s="166"/>
      <c r="Y62" s="166"/>
      <c r="Z62" s="166"/>
      <c r="AA62" s="166"/>
      <c r="AB62" s="154"/>
      <c r="AC62" s="76"/>
      <c r="AD62" s="76"/>
      <c r="AN62" s="136"/>
      <c r="BC62" s="9"/>
      <c r="BE62" s="77"/>
      <c r="BF62" s="77"/>
      <c r="BG62" s="91"/>
      <c r="BK62" s="77"/>
      <c r="BL62" s="77"/>
      <c r="BM62" s="77"/>
      <c r="BN62" s="77"/>
      <c r="BO62" s="77"/>
      <c r="BP62" s="77"/>
    </row>
    <row r="63" spans="1:69" s="9" customFormat="1" ht="11.25" customHeight="1" x14ac:dyDescent="0.2">
      <c r="A63" s="25"/>
      <c r="B63" s="25"/>
      <c r="C63" s="25"/>
      <c r="D63" s="25"/>
      <c r="F63" s="5"/>
      <c r="G63" s="5"/>
      <c r="H63" s="136" t="e">
        <f t="shared" si="3"/>
        <v>#REF!</v>
      </c>
      <c r="I63" s="151" t="s">
        <v>61</v>
      </c>
      <c r="J63" s="168" t="s">
        <v>35</v>
      </c>
      <c r="K63" s="169" t="e">
        <f>+K73-K71-K70</f>
        <v>#REF!</v>
      </c>
      <c r="L63" s="169" t="e">
        <f>+L73-L71-L70</f>
        <v>#REF!</v>
      </c>
      <c r="M63" s="170" t="e">
        <f t="shared" ref="M63:M69" si="5">L63/K63*100</f>
        <v>#REF!</v>
      </c>
      <c r="N63" s="8"/>
      <c r="O63" s="169">
        <f>+O73-O71-O70</f>
        <v>1505.8026558775255</v>
      </c>
      <c r="P63" s="169">
        <f>+P73-P71-P70</f>
        <v>1437.1811186976613</v>
      </c>
      <c r="Q63" s="169">
        <f>+Q73-Q71-Q70</f>
        <v>1344.1138745869371</v>
      </c>
      <c r="R63" s="169">
        <f>+R73-R71-R70</f>
        <v>1284.6777693127965</v>
      </c>
      <c r="S63" s="169">
        <f>+S73-S71-S70</f>
        <v>1221.1792098896769</v>
      </c>
      <c r="T63" s="169">
        <f t="shared" ref="T63" si="6">+T73-T71-T70</f>
        <v>1293.1303023803807</v>
      </c>
      <c r="U63" s="1"/>
      <c r="W63" s="155">
        <f t="shared" si="4"/>
        <v>112.02939604654236</v>
      </c>
      <c r="X63" s="169">
        <f t="shared" si="4"/>
        <v>106.92405947668124</v>
      </c>
      <c r="Y63" s="169">
        <f t="shared" si="4"/>
        <v>100</v>
      </c>
      <c r="Z63" s="169">
        <f t="shared" si="4"/>
        <v>95.578045402410112</v>
      </c>
      <c r="AA63" s="169">
        <f t="shared" si="4"/>
        <v>90.853850479369584</v>
      </c>
      <c r="AB63" s="155">
        <f t="shared" si="4"/>
        <v>96.206900831060594</v>
      </c>
      <c r="AC63" s="8"/>
      <c r="AD63" s="8"/>
      <c r="AN63" s="136"/>
      <c r="AP63" s="1"/>
      <c r="AQ63" s="1"/>
      <c r="AR63" s="1"/>
      <c r="AS63" s="1"/>
      <c r="AT63" s="1"/>
      <c r="AU63" s="1"/>
      <c r="AV63" s="1"/>
      <c r="AY63" s="38"/>
      <c r="AZ63" s="38"/>
      <c r="BB63" s="5"/>
      <c r="BE63" s="8"/>
      <c r="BF63" s="8"/>
      <c r="BG63" s="91"/>
      <c r="BH63" s="8"/>
      <c r="BI63" s="8"/>
      <c r="BJ63" s="18"/>
      <c r="BK63" s="18"/>
      <c r="BL63" s="18"/>
      <c r="BM63" s="18"/>
      <c r="BN63" s="18"/>
      <c r="BO63" s="18"/>
      <c r="BP63" s="18"/>
      <c r="BQ63" s="5"/>
    </row>
    <row r="64" spans="1:69" ht="11.25" customHeight="1" x14ac:dyDescent="0.25">
      <c r="A64" s="25" t="s">
        <v>19</v>
      </c>
      <c r="H64" s="136" t="e">
        <f t="shared" ref="H64:H91" si="7">+H63</f>
        <v>#REF!</v>
      </c>
      <c r="I64" s="152" t="s">
        <v>60</v>
      </c>
      <c r="J64" s="165" t="s">
        <v>35</v>
      </c>
      <c r="K64" s="171" t="e">
        <v>#REF!</v>
      </c>
      <c r="L64" s="171" t="e">
        <v>#REF!</v>
      </c>
      <c r="M64" s="172" t="e">
        <f t="shared" si="5"/>
        <v>#REF!</v>
      </c>
      <c r="N64" s="8"/>
      <c r="O64" s="171">
        <v>106.4</v>
      </c>
      <c r="P64" s="171">
        <v>106.4</v>
      </c>
      <c r="Q64" s="171">
        <v>106.4</v>
      </c>
      <c r="R64" s="171">
        <v>106.4</v>
      </c>
      <c r="S64" s="171">
        <v>106.4</v>
      </c>
      <c r="T64" s="171">
        <v>106.4</v>
      </c>
      <c r="W64" s="156">
        <f t="shared" si="4"/>
        <v>100</v>
      </c>
      <c r="X64" s="171">
        <f t="shared" si="4"/>
        <v>100</v>
      </c>
      <c r="Y64" s="171">
        <f t="shared" si="4"/>
        <v>100</v>
      </c>
      <c r="Z64" s="171">
        <f t="shared" si="4"/>
        <v>100</v>
      </c>
      <c r="AA64" s="171">
        <f t="shared" si="4"/>
        <v>100</v>
      </c>
      <c r="AB64" s="156">
        <f t="shared" si="4"/>
        <v>100</v>
      </c>
      <c r="AC64" s="4"/>
      <c r="AD64" s="4"/>
      <c r="AN64" s="136"/>
      <c r="AP64" s="9"/>
      <c r="AR64" s="64"/>
      <c r="AS64" s="64"/>
      <c r="AT64" s="64"/>
      <c r="AU64" s="64"/>
      <c r="AV64" s="64"/>
      <c r="AY64" s="38"/>
      <c r="AZ64" s="38"/>
      <c r="BE64" s="7"/>
      <c r="BF64" s="7"/>
      <c r="BG64" s="91"/>
      <c r="BH64" s="8"/>
      <c r="BI64" s="4"/>
      <c r="BJ64" s="18"/>
      <c r="BK64" s="7"/>
      <c r="BL64" s="7"/>
      <c r="BM64" s="7"/>
      <c r="BN64" s="7"/>
      <c r="BO64" s="7"/>
      <c r="BP64" s="7"/>
    </row>
    <row r="65" spans="1:69" ht="11.25" customHeight="1" x14ac:dyDescent="0.25">
      <c r="A65" s="25" t="s">
        <v>18</v>
      </c>
      <c r="B65" s="25" t="s">
        <v>17</v>
      </c>
      <c r="H65" s="136" t="e">
        <f t="shared" si="7"/>
        <v>#REF!</v>
      </c>
      <c r="I65" s="152" t="s">
        <v>59</v>
      </c>
      <c r="J65" s="165" t="s">
        <v>35</v>
      </c>
      <c r="K65" s="171" t="e">
        <v>#REF!</v>
      </c>
      <c r="L65" s="171" t="e">
        <v>#REF!</v>
      </c>
      <c r="M65" s="172" t="e">
        <f t="shared" si="5"/>
        <v>#REF!</v>
      </c>
      <c r="N65" s="8"/>
      <c r="O65" s="171">
        <v>381.74991380536846</v>
      </c>
      <c r="P65" s="171">
        <v>354.45691653834876</v>
      </c>
      <c r="Q65" s="171">
        <v>327.16391927132935</v>
      </c>
      <c r="R65" s="171">
        <v>299.87092200430976</v>
      </c>
      <c r="S65" s="171">
        <v>272.57792473729018</v>
      </c>
      <c r="T65" s="171">
        <v>327.16391927132935</v>
      </c>
      <c r="W65" s="156">
        <f t="shared" si="4"/>
        <v>116.68460099622689</v>
      </c>
      <c r="X65" s="171">
        <f t="shared" si="4"/>
        <v>108.3423004981134</v>
      </c>
      <c r="Y65" s="171">
        <f t="shared" si="4"/>
        <v>100</v>
      </c>
      <c r="Z65" s="171">
        <f t="shared" si="4"/>
        <v>91.65769950188654</v>
      </c>
      <c r="AA65" s="171">
        <f t="shared" si="4"/>
        <v>83.315399003773109</v>
      </c>
      <c r="AB65" s="156">
        <f t="shared" si="4"/>
        <v>100</v>
      </c>
      <c r="AC65" s="4"/>
      <c r="AD65" s="4"/>
      <c r="AN65" s="136"/>
      <c r="AR65" s="64"/>
      <c r="AS65" s="64"/>
      <c r="AT65" s="64"/>
      <c r="AU65" s="64"/>
      <c r="AV65" s="64"/>
      <c r="AY65" s="38"/>
      <c r="AZ65" s="38"/>
      <c r="BE65" s="7"/>
      <c r="BF65" s="7"/>
      <c r="BG65" s="91"/>
      <c r="BH65" s="8"/>
      <c r="BI65" s="4"/>
      <c r="BJ65" s="18"/>
      <c r="BK65" s="7"/>
      <c r="BL65" s="7"/>
      <c r="BM65" s="7"/>
      <c r="BN65" s="7"/>
      <c r="BO65" s="7"/>
      <c r="BP65" s="7"/>
    </row>
    <row r="66" spans="1:69" ht="11.25" customHeight="1" x14ac:dyDescent="0.25">
      <c r="A66" s="25" t="s">
        <v>16</v>
      </c>
      <c r="H66" s="136" t="e">
        <f t="shared" si="7"/>
        <v>#REF!</v>
      </c>
      <c r="I66" s="152" t="s">
        <v>58</v>
      </c>
      <c r="J66" s="165" t="s">
        <v>35</v>
      </c>
      <c r="K66" s="171" t="e">
        <v>#REF!</v>
      </c>
      <c r="L66" s="171" t="e">
        <v>#REF!</v>
      </c>
      <c r="M66" s="172" t="e">
        <f t="shared" si="5"/>
        <v>#REF!</v>
      </c>
      <c r="N66" s="8"/>
      <c r="O66" s="171">
        <v>182.14242000000002</v>
      </c>
      <c r="P66" s="171">
        <v>167.88282000000001</v>
      </c>
      <c r="Q66" s="171">
        <v>144.04236000000003</v>
      </c>
      <c r="R66" s="171">
        <v>144.04236000000003</v>
      </c>
      <c r="S66" s="171">
        <v>144.04236000000003</v>
      </c>
      <c r="T66" s="171">
        <v>144.04236000000003</v>
      </c>
      <c r="W66" s="156">
        <f t="shared" si="4"/>
        <v>126.45059411689725</v>
      </c>
      <c r="X66" s="171">
        <f t="shared" si="4"/>
        <v>116.55100624566272</v>
      </c>
      <c r="Y66" s="171">
        <f t="shared" si="4"/>
        <v>100</v>
      </c>
      <c r="Z66" s="171">
        <f t="shared" si="4"/>
        <v>100</v>
      </c>
      <c r="AA66" s="171">
        <f t="shared" si="4"/>
        <v>100</v>
      </c>
      <c r="AB66" s="156">
        <f t="shared" si="4"/>
        <v>100</v>
      </c>
      <c r="AC66" s="4"/>
      <c r="AD66" s="4"/>
      <c r="AN66" s="136"/>
      <c r="AO66" s="1" t="e">
        <f>#REF!</f>
        <v>#REF!</v>
      </c>
      <c r="AP66" s="1" t="e">
        <f>#REF!</f>
        <v>#REF!</v>
      </c>
      <c r="AQ66" s="1" t="e">
        <f>#REF!</f>
        <v>#REF!</v>
      </c>
      <c r="AR66" s="1" t="e">
        <f>#REF!</f>
        <v>#REF!</v>
      </c>
      <c r="AS66" s="1" t="e">
        <f>#REF!</f>
        <v>#REF!</v>
      </c>
      <c r="AT66" s="1" t="e">
        <f>#REF!</f>
        <v>#REF!</v>
      </c>
      <c r="AU66" s="64"/>
      <c r="AV66" s="64"/>
      <c r="AY66" s="38"/>
      <c r="AZ66" s="38"/>
      <c r="BE66" s="7"/>
      <c r="BF66" s="7"/>
      <c r="BG66" s="91"/>
      <c r="BH66" s="8"/>
      <c r="BI66" s="4"/>
      <c r="BJ66" s="18"/>
      <c r="BK66" s="7"/>
      <c r="BL66" s="7"/>
      <c r="BM66" s="7"/>
      <c r="BN66" s="7"/>
      <c r="BO66" s="7"/>
      <c r="BP66" s="7"/>
    </row>
    <row r="67" spans="1:69" ht="11.25" customHeight="1" x14ac:dyDescent="0.25">
      <c r="A67" s="25" t="s">
        <v>15</v>
      </c>
      <c r="B67" s="25" t="s">
        <v>14</v>
      </c>
      <c r="C67" s="25" t="s">
        <v>13</v>
      </c>
      <c r="H67" s="136" t="e">
        <f t="shared" si="7"/>
        <v>#REF!</v>
      </c>
      <c r="I67" s="152" t="s">
        <v>57</v>
      </c>
      <c r="J67" s="165" t="s">
        <v>35</v>
      </c>
      <c r="K67" s="171" t="e">
        <v>#REF!</v>
      </c>
      <c r="L67" s="171" t="e">
        <v>#REF!</v>
      </c>
      <c r="M67" s="172" t="e">
        <f t="shared" si="5"/>
        <v>#REF!</v>
      </c>
      <c r="N67" s="8"/>
      <c r="O67" s="171">
        <v>450.52839325866751</v>
      </c>
      <c r="P67" s="171">
        <v>430.37162181900896</v>
      </c>
      <c r="Q67" s="171">
        <v>410.21485037935048</v>
      </c>
      <c r="R67" s="171">
        <v>390.05807893969194</v>
      </c>
      <c r="S67" s="171">
        <v>369.90130750003345</v>
      </c>
      <c r="T67" s="171">
        <v>410.21485037935048</v>
      </c>
      <c r="W67" s="156">
        <f t="shared" si="4"/>
        <v>109.82742161626686</v>
      </c>
      <c r="X67" s="171">
        <f t="shared" si="4"/>
        <v>104.91371080813343</v>
      </c>
      <c r="Y67" s="171">
        <f t="shared" si="4"/>
        <v>100</v>
      </c>
      <c r="Z67" s="171">
        <f t="shared" si="4"/>
        <v>95.08628919186657</v>
      </c>
      <c r="AA67" s="171">
        <f t="shared" si="4"/>
        <v>90.172578383733153</v>
      </c>
      <c r="AB67" s="156">
        <f t="shared" si="4"/>
        <v>100</v>
      </c>
      <c r="AC67" s="4"/>
      <c r="AD67" s="4"/>
      <c r="AN67" s="136"/>
      <c r="AY67" s="38"/>
      <c r="AZ67" s="38"/>
      <c r="BE67" s="7"/>
      <c r="BF67" s="7"/>
      <c r="BG67" s="91"/>
      <c r="BH67" s="8"/>
      <c r="BI67" s="4"/>
      <c r="BJ67" s="18"/>
      <c r="BK67" s="7"/>
      <c r="BL67" s="7"/>
      <c r="BM67" s="7"/>
      <c r="BN67" s="7"/>
      <c r="BO67" s="7"/>
      <c r="BP67" s="7"/>
    </row>
    <row r="68" spans="1:69" ht="11.25" customHeight="1" x14ac:dyDescent="0.25">
      <c r="A68" s="25" t="s">
        <v>12</v>
      </c>
      <c r="H68" s="136" t="e">
        <f t="shared" si="7"/>
        <v>#REF!</v>
      </c>
      <c r="I68" s="152" t="s">
        <v>56</v>
      </c>
      <c r="J68" s="165" t="s">
        <v>35</v>
      </c>
      <c r="K68" s="171" t="e">
        <v>#REF!</v>
      </c>
      <c r="L68" s="171" t="e">
        <v>#REF!</v>
      </c>
      <c r="M68" s="172" t="e">
        <f t="shared" si="5"/>
        <v>#REF!</v>
      </c>
      <c r="N68" s="8"/>
      <c r="O68" s="171">
        <v>23.5305</v>
      </c>
      <c r="P68" s="171">
        <v>21.84975</v>
      </c>
      <c r="Q68" s="171">
        <v>20.169</v>
      </c>
      <c r="R68" s="171">
        <v>18.488250000000001</v>
      </c>
      <c r="S68" s="171">
        <v>16.807500000000001</v>
      </c>
      <c r="T68" s="171">
        <v>20.169</v>
      </c>
      <c r="W68" s="156">
        <f t="shared" si="4"/>
        <v>116.66666666666667</v>
      </c>
      <c r="X68" s="171">
        <f t="shared" si="4"/>
        <v>108.33333333333333</v>
      </c>
      <c r="Y68" s="171">
        <f t="shared" si="4"/>
        <v>100</v>
      </c>
      <c r="Z68" s="171">
        <f t="shared" si="4"/>
        <v>91.666666666666657</v>
      </c>
      <c r="AA68" s="171">
        <f t="shared" si="4"/>
        <v>83.333333333333343</v>
      </c>
      <c r="AB68" s="156">
        <f t="shared" si="4"/>
        <v>100</v>
      </c>
      <c r="AC68" s="4"/>
      <c r="AD68" s="4"/>
      <c r="AN68" s="136"/>
      <c r="AY68" s="38"/>
      <c r="AZ68" s="38"/>
      <c r="BE68" s="7"/>
      <c r="BF68" s="7"/>
      <c r="BG68" s="91"/>
      <c r="BH68" s="8"/>
      <c r="BI68" s="4"/>
      <c r="BJ68" s="18"/>
      <c r="BK68" s="7"/>
      <c r="BL68" s="7"/>
      <c r="BM68" s="7"/>
      <c r="BN68" s="7"/>
      <c r="BO68" s="7"/>
      <c r="BP68" s="7"/>
    </row>
    <row r="69" spans="1:69" ht="11.25" customHeight="1" x14ac:dyDescent="0.25">
      <c r="A69" s="25" t="s">
        <v>11</v>
      </c>
      <c r="H69" s="136" t="e">
        <f t="shared" si="7"/>
        <v>#REF!</v>
      </c>
      <c r="I69" s="152" t="s">
        <v>55</v>
      </c>
      <c r="J69" s="165" t="s">
        <v>35</v>
      </c>
      <c r="K69" s="171" t="e">
        <v>#REF!</v>
      </c>
      <c r="L69" s="171" t="e">
        <v>#REF!</v>
      </c>
      <c r="M69" s="172" t="e">
        <f t="shared" si="5"/>
        <v>#REF!</v>
      </c>
      <c r="N69" s="8"/>
      <c r="O69" s="171">
        <v>332.60295788710164</v>
      </c>
      <c r="P69" s="171">
        <v>328.99762398080878</v>
      </c>
      <c r="Q69" s="171">
        <v>310.93982355673688</v>
      </c>
      <c r="R69" s="171">
        <v>302.20918792315894</v>
      </c>
      <c r="S69" s="171">
        <v>289.55265001374369</v>
      </c>
      <c r="T69" s="171">
        <v>260.85618197078264</v>
      </c>
      <c r="W69" s="156">
        <f t="shared" si="4"/>
        <v>106.96698611408708</v>
      </c>
      <c r="X69" s="171">
        <f t="shared" si="4"/>
        <v>105.80749040683008</v>
      </c>
      <c r="Y69" s="171">
        <f t="shared" si="4"/>
        <v>100</v>
      </c>
      <c r="Z69" s="171">
        <f t="shared" si="4"/>
        <v>97.192178366311808</v>
      </c>
      <c r="AA69" s="171">
        <f t="shared" si="4"/>
        <v>93.121764430701589</v>
      </c>
      <c r="AB69" s="156">
        <f t="shared" si="4"/>
        <v>83.89281854827594</v>
      </c>
      <c r="AC69" s="4"/>
      <c r="AD69" s="4"/>
      <c r="AN69" s="136"/>
      <c r="AY69" s="38"/>
      <c r="AZ69" s="38"/>
      <c r="BE69" s="7"/>
      <c r="BF69" s="7"/>
      <c r="BG69" s="91"/>
      <c r="BH69" s="8"/>
      <c r="BI69" s="4"/>
      <c r="BJ69" s="18"/>
      <c r="BK69" s="7"/>
      <c r="BL69" s="7"/>
      <c r="BM69" s="7"/>
      <c r="BN69" s="7"/>
      <c r="BO69" s="7"/>
      <c r="BP69" s="7"/>
    </row>
    <row r="70" spans="1:69" ht="11.25" customHeight="1" x14ac:dyDescent="0.25">
      <c r="A70" s="25" t="s">
        <v>10</v>
      </c>
      <c r="H70" s="136" t="e">
        <f t="shared" si="7"/>
        <v>#REF!</v>
      </c>
      <c r="I70" s="152" t="s">
        <v>26</v>
      </c>
      <c r="J70" s="165" t="s">
        <v>35</v>
      </c>
      <c r="K70" s="171" t="e">
        <v>#REF!</v>
      </c>
      <c r="L70" s="171" t="e">
        <v>#REF!</v>
      </c>
      <c r="M70" s="172"/>
      <c r="N70" s="8"/>
      <c r="O70" s="171">
        <v>0</v>
      </c>
      <c r="P70" s="171">
        <v>0</v>
      </c>
      <c r="Q70" s="171">
        <v>0</v>
      </c>
      <c r="R70" s="171">
        <v>0</v>
      </c>
      <c r="S70" s="171">
        <v>0</v>
      </c>
      <c r="T70" s="171">
        <v>0</v>
      </c>
      <c r="W70" s="156"/>
      <c r="X70" s="171"/>
      <c r="Y70" s="171"/>
      <c r="Z70" s="171"/>
      <c r="AA70" s="171"/>
      <c r="AB70" s="156"/>
      <c r="AC70" s="4"/>
      <c r="AD70" s="4"/>
      <c r="AN70" s="136"/>
      <c r="AY70" s="38"/>
      <c r="AZ70" s="38"/>
      <c r="BE70" s="7"/>
      <c r="BF70" s="7"/>
      <c r="BG70" s="91"/>
      <c r="BH70" s="8"/>
      <c r="BI70" s="4"/>
      <c r="BJ70" s="18"/>
      <c r="BK70" s="7"/>
      <c r="BL70" s="7"/>
      <c r="BM70" s="7"/>
      <c r="BN70" s="7"/>
      <c r="BO70" s="7"/>
      <c r="BP70" s="7"/>
    </row>
    <row r="71" spans="1:69" s="9" customFormat="1" ht="11.25" customHeight="1" x14ac:dyDescent="0.2">
      <c r="A71" s="25" t="s">
        <v>7</v>
      </c>
      <c r="B71" s="25" t="s">
        <v>9</v>
      </c>
      <c r="C71" s="25" t="s">
        <v>8</v>
      </c>
      <c r="D71" s="25"/>
      <c r="F71" s="5"/>
      <c r="G71" s="5"/>
      <c r="H71" s="136" t="e">
        <f t="shared" si="7"/>
        <v>#REF!</v>
      </c>
      <c r="I71" s="151" t="s">
        <v>54</v>
      </c>
      <c r="J71" s="168" t="s">
        <v>35</v>
      </c>
      <c r="K71" s="169" t="e">
        <v>#REF!</v>
      </c>
      <c r="L71" s="169" t="e">
        <v>#REF!</v>
      </c>
      <c r="M71" s="170" t="e">
        <f t="shared" ref="M71:M80" si="8">L71/K71*100</f>
        <v>#REF!</v>
      </c>
      <c r="N71" s="8"/>
      <c r="O71" s="169">
        <v>342.42715858061302</v>
      </c>
      <c r="P71" s="169">
        <v>334.02055143623875</v>
      </c>
      <c r="Q71" s="169">
        <v>316.10487403434189</v>
      </c>
      <c r="R71" s="169">
        <v>304.97809304648365</v>
      </c>
      <c r="S71" s="169">
        <v>290.17914561035673</v>
      </c>
      <c r="T71" s="169">
        <v>287.6297399735999</v>
      </c>
      <c r="U71" s="1"/>
      <c r="W71" s="155">
        <f t="shared" si="4"/>
        <v>108.32707329384976</v>
      </c>
      <c r="X71" s="169">
        <f t="shared" si="4"/>
        <v>105.66763719054535</v>
      </c>
      <c r="Y71" s="169">
        <f t="shared" si="4"/>
        <v>100</v>
      </c>
      <c r="Z71" s="169">
        <f t="shared" si="4"/>
        <v>96.480034981475981</v>
      </c>
      <c r="AA71" s="169">
        <f t="shared" si="4"/>
        <v>91.798377515315195</v>
      </c>
      <c r="AB71" s="155">
        <f t="shared" si="4"/>
        <v>90.991871242817851</v>
      </c>
      <c r="AC71" s="8"/>
      <c r="AD71" s="8"/>
      <c r="AN71" s="136"/>
      <c r="AY71" s="38"/>
      <c r="AZ71" s="38"/>
      <c r="BB71" s="5"/>
      <c r="BE71" s="6"/>
      <c r="BF71" s="6"/>
      <c r="BG71" s="91"/>
      <c r="BH71" s="8"/>
      <c r="BI71" s="8"/>
      <c r="BJ71" s="18"/>
      <c r="BK71" s="6"/>
      <c r="BL71" s="6"/>
      <c r="BM71" s="6"/>
      <c r="BN71" s="6"/>
      <c r="BO71" s="6"/>
      <c r="BP71" s="6"/>
      <c r="BQ71" s="5"/>
    </row>
    <row r="72" spans="1:69" ht="11.25" customHeight="1" x14ac:dyDescent="0.25">
      <c r="A72" s="25" t="s">
        <v>7</v>
      </c>
      <c r="H72" s="136" t="e">
        <f t="shared" si="7"/>
        <v>#REF!</v>
      </c>
      <c r="I72" s="152" t="s">
        <v>53</v>
      </c>
      <c r="J72" s="165" t="s">
        <v>35</v>
      </c>
      <c r="K72" s="171" t="e">
        <v>#REF!</v>
      </c>
      <c r="L72" s="171" t="e">
        <v>#REF!</v>
      </c>
      <c r="M72" s="172" t="e">
        <f t="shared" si="8"/>
        <v>#REF!</v>
      </c>
      <c r="N72" s="8"/>
      <c r="O72" s="171">
        <v>149.44077186629025</v>
      </c>
      <c r="P72" s="171">
        <v>144.69737898842806</v>
      </c>
      <c r="Q72" s="171">
        <v>134.90020005772871</v>
      </c>
      <c r="R72" s="171">
        <v>128.69669223733777</v>
      </c>
      <c r="S72" s="171">
        <v>120.31325580848011</v>
      </c>
      <c r="T72" s="171">
        <v>120.53361203255086</v>
      </c>
      <c r="W72" s="156">
        <f t="shared" si="4"/>
        <v>110.77876222743859</v>
      </c>
      <c r="X72" s="171">
        <f t="shared" si="4"/>
        <v>107.26253847400284</v>
      </c>
      <c r="Y72" s="171">
        <f t="shared" si="4"/>
        <v>100</v>
      </c>
      <c r="Z72" s="171">
        <f t="shared" si="4"/>
        <v>95.401409473272665</v>
      </c>
      <c r="AA72" s="171">
        <f t="shared" si="4"/>
        <v>89.186862404202287</v>
      </c>
      <c r="AB72" s="156">
        <f t="shared" si="4"/>
        <v>89.35020999299492</v>
      </c>
      <c r="AC72" s="4"/>
      <c r="AD72" s="4"/>
      <c r="AH72" s="26"/>
      <c r="AI72" s="26"/>
      <c r="AJ72" s="26"/>
      <c r="AK72" s="26"/>
      <c r="AN72" s="136"/>
      <c r="AY72" s="38"/>
      <c r="AZ72" s="38"/>
      <c r="BE72" s="7"/>
      <c r="BF72" s="7"/>
      <c r="BG72" s="91"/>
      <c r="BH72" s="8"/>
      <c r="BI72" s="4"/>
      <c r="BJ72" s="18"/>
      <c r="BK72" s="7"/>
      <c r="BL72" s="7"/>
      <c r="BM72" s="7"/>
      <c r="BN72" s="7"/>
      <c r="BO72" s="7"/>
      <c r="BP72" s="7"/>
    </row>
    <row r="73" spans="1:69" s="9" customFormat="1" ht="11.25" customHeight="1" x14ac:dyDescent="0.2">
      <c r="A73" s="25" t="s">
        <v>6</v>
      </c>
      <c r="B73" s="25"/>
      <c r="C73" s="25"/>
      <c r="D73" s="25"/>
      <c r="F73" s="5"/>
      <c r="G73" s="5"/>
      <c r="H73" s="136" t="e">
        <f t="shared" si="7"/>
        <v>#REF!</v>
      </c>
      <c r="I73" s="151" t="s">
        <v>52</v>
      </c>
      <c r="J73" s="168" t="s">
        <v>35</v>
      </c>
      <c r="K73" s="169" t="e">
        <v>#REF!</v>
      </c>
      <c r="L73" s="169" t="e">
        <v>#REF!</v>
      </c>
      <c r="M73" s="170" t="e">
        <f t="shared" si="8"/>
        <v>#REF!</v>
      </c>
      <c r="N73" s="8"/>
      <c r="O73" s="169">
        <v>1848.2298144581384</v>
      </c>
      <c r="P73" s="169">
        <v>1771.2016701339001</v>
      </c>
      <c r="Q73" s="169">
        <v>1660.218748621279</v>
      </c>
      <c r="R73" s="169">
        <v>1589.65586235928</v>
      </c>
      <c r="S73" s="169">
        <v>1511.3583555000337</v>
      </c>
      <c r="T73" s="169">
        <v>1580.7600423539807</v>
      </c>
      <c r="U73" s="1"/>
      <c r="W73" s="155">
        <f t="shared" si="4"/>
        <v>111.32447552426403</v>
      </c>
      <c r="X73" s="169">
        <f t="shared" si="4"/>
        <v>106.68483726043848</v>
      </c>
      <c r="Y73" s="169">
        <f t="shared" si="4"/>
        <v>100</v>
      </c>
      <c r="Z73" s="169">
        <f t="shared" si="4"/>
        <v>95.749783796828126</v>
      </c>
      <c r="AA73" s="169">
        <f t="shared" si="4"/>
        <v>91.033687985702741</v>
      </c>
      <c r="AB73" s="155">
        <f t="shared" si="4"/>
        <v>95.213961634074764</v>
      </c>
      <c r="AC73" s="8"/>
      <c r="AD73" s="8"/>
      <c r="AN73" s="136"/>
      <c r="AY73" s="38"/>
      <c r="AZ73" s="38"/>
      <c r="BB73" s="5"/>
      <c r="BE73" s="6"/>
      <c r="BF73" s="6"/>
      <c r="BG73" s="91"/>
      <c r="BH73" s="8"/>
      <c r="BI73" s="8"/>
      <c r="BJ73" s="18"/>
      <c r="BK73" s="6"/>
      <c r="BL73" s="6"/>
      <c r="BM73" s="6"/>
      <c r="BN73" s="6"/>
      <c r="BO73" s="6"/>
      <c r="BP73" s="6"/>
      <c r="BQ73" s="5"/>
    </row>
    <row r="74" spans="1:69" ht="12" customHeight="1" x14ac:dyDescent="0.25">
      <c r="A74" s="25" t="s">
        <v>5</v>
      </c>
      <c r="H74" s="136" t="e">
        <f t="shared" si="7"/>
        <v>#REF!</v>
      </c>
      <c r="I74" s="152" t="s">
        <v>5</v>
      </c>
      <c r="J74" s="165" t="s">
        <v>35</v>
      </c>
      <c r="K74" s="171" t="e">
        <v>#REF!</v>
      </c>
      <c r="L74" s="171" t="e">
        <v>#REF!</v>
      </c>
      <c r="M74" s="172" t="e">
        <f t="shared" si="8"/>
        <v>#REF!</v>
      </c>
      <c r="N74" s="8"/>
      <c r="O74" s="171">
        <v>329.47909159907402</v>
      </c>
      <c r="P74" s="171">
        <v>307.59904317767757</v>
      </c>
      <c r="Q74" s="171">
        <v>285.71899475628106</v>
      </c>
      <c r="R74" s="171">
        <v>256.11947510171024</v>
      </c>
      <c r="S74" s="171">
        <v>234.23942668031373</v>
      </c>
      <c r="T74" s="171">
        <v>285.71899475628101</v>
      </c>
      <c r="W74" s="156">
        <f t="shared" si="4"/>
        <v>115.31578146567414</v>
      </c>
      <c r="X74" s="171">
        <f t="shared" si="4"/>
        <v>107.65789073283707</v>
      </c>
      <c r="Y74" s="171">
        <f t="shared" si="4"/>
        <v>100</v>
      </c>
      <c r="Z74" s="171">
        <f t="shared" si="4"/>
        <v>89.64033886517791</v>
      </c>
      <c r="AA74" s="171">
        <f t="shared" si="4"/>
        <v>81.982448132340821</v>
      </c>
      <c r="AB74" s="156">
        <f t="shared" si="4"/>
        <v>99.999999999999972</v>
      </c>
      <c r="AC74" s="4"/>
      <c r="AD74" s="4"/>
      <c r="AE74" s="339" t="s">
        <v>170</v>
      </c>
      <c r="AF74" s="340"/>
      <c r="AG74" s="340"/>
      <c r="AH74" s="340"/>
      <c r="AI74" s="340"/>
      <c r="AJ74" s="340"/>
      <c r="AK74" s="340"/>
      <c r="AL74" s="340"/>
      <c r="AM74" s="340"/>
      <c r="AN74" s="136"/>
      <c r="AY74" s="38"/>
      <c r="AZ74" s="38"/>
      <c r="BE74" s="7"/>
      <c r="BF74" s="7"/>
      <c r="BG74" s="91"/>
      <c r="BH74" s="8"/>
      <c r="BI74" s="4"/>
      <c r="BJ74" s="18"/>
      <c r="BK74" s="7"/>
      <c r="BL74" s="7"/>
      <c r="BM74" s="7"/>
      <c r="BN74" s="7"/>
      <c r="BO74" s="7"/>
      <c r="BP74" s="7"/>
    </row>
    <row r="75" spans="1:69" ht="12.6" customHeight="1" x14ac:dyDescent="0.25">
      <c r="H75" s="136" t="e">
        <f t="shared" si="7"/>
        <v>#REF!</v>
      </c>
      <c r="I75" s="152" t="s">
        <v>51</v>
      </c>
      <c r="J75" s="165" t="s">
        <v>35</v>
      </c>
      <c r="K75" s="171" t="e">
        <f>+K73-K74</f>
        <v>#REF!</v>
      </c>
      <c r="L75" s="171" t="e">
        <f>+L73-L74</f>
        <v>#REF!</v>
      </c>
      <c r="M75" s="172" t="e">
        <f t="shared" si="8"/>
        <v>#REF!</v>
      </c>
      <c r="N75" s="8"/>
      <c r="O75" s="171">
        <f>+O73-O74</f>
        <v>1518.7507228590644</v>
      </c>
      <c r="P75" s="171">
        <f>+P73-P74</f>
        <v>1463.6026269562226</v>
      </c>
      <c r="Q75" s="171">
        <f>+Q73-Q74</f>
        <v>1374.499753864998</v>
      </c>
      <c r="R75" s="171">
        <f>+R73-R74</f>
        <v>1333.5363872575699</v>
      </c>
      <c r="S75" s="171">
        <f>+S73-S74</f>
        <v>1277.1189288197199</v>
      </c>
      <c r="T75" s="171">
        <f t="shared" ref="T75" si="9">+T73-T74</f>
        <v>1295.0410475976996</v>
      </c>
      <c r="W75" s="156">
        <f t="shared" si="4"/>
        <v>110.49479773193431</v>
      </c>
      <c r="X75" s="171">
        <f t="shared" si="4"/>
        <v>106.4825674097557</v>
      </c>
      <c r="Y75" s="171">
        <f t="shared" si="4"/>
        <v>100</v>
      </c>
      <c r="Z75" s="171">
        <f t="shared" si="4"/>
        <v>97.019761808451264</v>
      </c>
      <c r="AA75" s="171">
        <f t="shared" si="4"/>
        <v>92.915180612331866</v>
      </c>
      <c r="AB75" s="156">
        <f t="shared" si="4"/>
        <v>94.219081811847119</v>
      </c>
      <c r="AC75" s="4"/>
      <c r="AD75" s="4"/>
      <c r="AE75" s="192" t="str">
        <f>AF$10&amp;""&amp;$L$56&amp;", upoštevani stroški zmanjšani za subvencije"</f>
        <v>prva ocena letine 2021, upoštevani stroški zmanjšani za subvencije</v>
      </c>
      <c r="AN75" s="136"/>
      <c r="AY75" s="38"/>
      <c r="AZ75" s="38"/>
      <c r="BE75" s="4"/>
      <c r="BF75" s="4"/>
      <c r="BG75" s="91"/>
      <c r="BH75" s="8"/>
      <c r="BI75" s="4"/>
      <c r="BJ75" s="18"/>
      <c r="BK75" s="17"/>
      <c r="BL75" s="17"/>
      <c r="BM75" s="17"/>
      <c r="BN75" s="17"/>
      <c r="BO75" s="17"/>
      <c r="BP75" s="17"/>
    </row>
    <row r="76" spans="1:69" ht="11.25" customHeight="1" x14ac:dyDescent="0.2">
      <c r="A76" s="25" t="s">
        <v>4</v>
      </c>
      <c r="B76" s="25" t="s">
        <v>3</v>
      </c>
      <c r="C76" s="5" t="s">
        <v>2</v>
      </c>
      <c r="D76" s="5" t="s">
        <v>1</v>
      </c>
      <c r="E76" s="5" t="s">
        <v>0</v>
      </c>
      <c r="H76" s="136" t="e">
        <f t="shared" si="7"/>
        <v>#REF!</v>
      </c>
      <c r="I76" s="152" t="s">
        <v>50</v>
      </c>
      <c r="J76" s="165" t="s">
        <v>35</v>
      </c>
      <c r="K76" s="171" t="e">
        <v>#REF!</v>
      </c>
      <c r="L76" s="171" t="e">
        <v>#REF!</v>
      </c>
      <c r="M76" s="172" t="e">
        <f t="shared" si="8"/>
        <v>#REF!</v>
      </c>
      <c r="N76" s="8"/>
      <c r="O76" s="171">
        <v>390.94381902811972</v>
      </c>
      <c r="P76" s="171">
        <v>390.60198957438183</v>
      </c>
      <c r="Q76" s="171">
        <v>389.10298057306909</v>
      </c>
      <c r="R76" s="171">
        <v>388.27255666221123</v>
      </c>
      <c r="S76" s="171">
        <v>387.09996231583949</v>
      </c>
      <c r="T76" s="171">
        <v>385.81470242446971</v>
      </c>
      <c r="W76" s="156">
        <f t="shared" si="4"/>
        <v>100.47309800925694</v>
      </c>
      <c r="X76" s="171">
        <f t="shared" si="4"/>
        <v>100.38524737053029</v>
      </c>
      <c r="Y76" s="171">
        <f t="shared" si="4"/>
        <v>100</v>
      </c>
      <c r="Z76" s="171">
        <f t="shared" si="4"/>
        <v>99.786579915261811</v>
      </c>
      <c r="AA76" s="171">
        <f t="shared" si="4"/>
        <v>99.485221559012587</v>
      </c>
      <c r="AB76" s="156">
        <f t="shared" si="4"/>
        <v>99.154908003080209</v>
      </c>
      <c r="AC76" s="4"/>
      <c r="AD76" s="4"/>
      <c r="AF76" s="72"/>
      <c r="AG76" s="72"/>
      <c r="AH76" s="72"/>
      <c r="AI76" s="72"/>
      <c r="AJ76" s="72"/>
      <c r="AK76" s="72"/>
      <c r="AL76" s="72"/>
      <c r="AM76" s="72"/>
      <c r="AN76" s="136"/>
      <c r="AY76" s="38"/>
      <c r="AZ76" s="38"/>
      <c r="BE76" s="90"/>
      <c r="BF76" s="90"/>
      <c r="BG76" s="91"/>
      <c r="BH76" s="8"/>
      <c r="BI76" s="4"/>
      <c r="BJ76" s="18"/>
      <c r="BK76" s="90"/>
      <c r="BL76" s="90"/>
      <c r="BM76" s="90"/>
      <c r="BN76" s="90"/>
      <c r="BO76" s="90"/>
      <c r="BP76" s="90"/>
    </row>
    <row r="77" spans="1:69" ht="11.25" customHeight="1" x14ac:dyDescent="0.25">
      <c r="H77" s="136" t="e">
        <f t="shared" si="7"/>
        <v>#REF!</v>
      </c>
      <c r="I77" s="151" t="s">
        <v>49</v>
      </c>
      <c r="J77" s="168" t="s">
        <v>35</v>
      </c>
      <c r="K77" s="169" t="e">
        <f>+K75-K76</f>
        <v>#REF!</v>
      </c>
      <c r="L77" s="169" t="e">
        <f>+L75-L76</f>
        <v>#REF!</v>
      </c>
      <c r="M77" s="170" t="e">
        <f t="shared" si="8"/>
        <v>#REF!</v>
      </c>
      <c r="N77" s="8"/>
      <c r="O77" s="169">
        <f>+O75-O76</f>
        <v>1127.8069038309445</v>
      </c>
      <c r="P77" s="169">
        <f>+P75-P76</f>
        <v>1073.0006373818408</v>
      </c>
      <c r="Q77" s="169">
        <f>+Q75-Q76</f>
        <v>985.39677329192887</v>
      </c>
      <c r="R77" s="169">
        <f>+R75-R76</f>
        <v>945.26383059535874</v>
      </c>
      <c r="S77" s="169">
        <f>+S75-S76</f>
        <v>890.01896650388039</v>
      </c>
      <c r="T77" s="169">
        <f t="shared" ref="T77" si="10">+T75-T76</f>
        <v>909.2263451732299</v>
      </c>
      <c r="U77" s="9"/>
      <c r="V77" s="9"/>
      <c r="W77" s="155">
        <f t="shared" si="4"/>
        <v>114.45205975896025</v>
      </c>
      <c r="X77" s="169">
        <f t="shared" si="4"/>
        <v>108.89021219313034</v>
      </c>
      <c r="Y77" s="169">
        <f t="shared" si="4"/>
        <v>100</v>
      </c>
      <c r="Z77" s="169">
        <f t="shared" si="4"/>
        <v>95.927230148877243</v>
      </c>
      <c r="AA77" s="169">
        <f t="shared" si="4"/>
        <v>90.320872832836812</v>
      </c>
      <c r="AB77" s="155">
        <f t="shared" si="4"/>
        <v>92.270075345971009</v>
      </c>
      <c r="AC77" s="4"/>
      <c r="AD77" s="4"/>
      <c r="AN77" s="136"/>
      <c r="AY77" s="38"/>
      <c r="AZ77" s="38"/>
      <c r="BE77" s="8"/>
      <c r="BF77" s="8"/>
      <c r="BG77" s="91"/>
      <c r="BH77" s="8"/>
      <c r="BI77" s="8"/>
      <c r="BJ77" s="18"/>
      <c r="BK77" s="8"/>
      <c r="BL77" s="8"/>
      <c r="BM77" s="8"/>
      <c r="BN77" s="8"/>
      <c r="BO77" s="8"/>
      <c r="BP77" s="8"/>
    </row>
    <row r="78" spans="1:69" s="16" customFormat="1" ht="11.25" customHeight="1" x14ac:dyDescent="0.2">
      <c r="A78" s="25"/>
      <c r="B78" s="25"/>
      <c r="C78" s="25"/>
      <c r="D78" s="25"/>
      <c r="F78" s="5"/>
      <c r="G78" s="33"/>
      <c r="H78" s="136" t="e">
        <f t="shared" si="7"/>
        <v>#REF!</v>
      </c>
      <c r="I78" s="153" t="s">
        <v>48</v>
      </c>
      <c r="J78" s="173" t="s">
        <v>46</v>
      </c>
      <c r="K78" s="174" t="e">
        <f>+K77/K58</f>
        <v>#REF!</v>
      </c>
      <c r="L78" s="174" t="e">
        <f>+L77/L58</f>
        <v>#REF!</v>
      </c>
      <c r="M78" s="170" t="e">
        <f t="shared" si="8"/>
        <v>#REF!</v>
      </c>
      <c r="N78" s="14"/>
      <c r="O78" s="174">
        <f>+O77/O58</f>
        <v>0.16111527197584921</v>
      </c>
      <c r="P78" s="174">
        <f>+P77/P58</f>
        <v>0.1650770211356678</v>
      </c>
      <c r="Q78" s="174">
        <f>+Q77/Q58</f>
        <v>0.1642327955486548</v>
      </c>
      <c r="R78" s="174">
        <f>+R77/R58</f>
        <v>0.17186615101733796</v>
      </c>
      <c r="S78" s="174">
        <f>+S77/S58</f>
        <v>0.17800379330077609</v>
      </c>
      <c r="T78" s="174">
        <f t="shared" ref="T78" si="11">+T77/T58</f>
        <v>0.15153772419553832</v>
      </c>
      <c r="U78" s="19"/>
      <c r="W78" s="157">
        <f t="shared" si="4"/>
        <v>98.101765507680213</v>
      </c>
      <c r="X78" s="183">
        <f t="shared" si="4"/>
        <v>100.51404202442799</v>
      </c>
      <c r="Y78" s="183">
        <f t="shared" si="4"/>
        <v>100</v>
      </c>
      <c r="Z78" s="183">
        <f t="shared" si="4"/>
        <v>104.64788743513881</v>
      </c>
      <c r="AA78" s="183">
        <f t="shared" si="4"/>
        <v>108.3850473994042</v>
      </c>
      <c r="AB78" s="157">
        <f t="shared" si="4"/>
        <v>92.270075345971009</v>
      </c>
      <c r="AC78" s="4"/>
      <c r="AD78" s="73"/>
      <c r="AN78" s="136"/>
      <c r="AO78" s="16" t="e">
        <f>#REF!</f>
        <v>#REF!</v>
      </c>
      <c r="AP78" s="16" t="e">
        <f>#REF!</f>
        <v>#REF!</v>
      </c>
      <c r="AQ78" s="16" t="e">
        <f>#REF!</f>
        <v>#REF!</v>
      </c>
      <c r="AR78" s="16" t="e">
        <f>#REF!</f>
        <v>#REF!</v>
      </c>
      <c r="AS78" s="16" t="e">
        <f>#REF!</f>
        <v>#REF!</v>
      </c>
      <c r="AT78" s="16" t="e">
        <f>#REF!</f>
        <v>#REF!</v>
      </c>
      <c r="AY78" s="38"/>
      <c r="AZ78" s="38"/>
      <c r="BB78" s="5"/>
      <c r="BE78" s="15"/>
      <c r="BF78" s="15"/>
      <c r="BG78" s="91"/>
      <c r="BH78" s="8"/>
      <c r="BI78" s="8"/>
      <c r="BJ78" s="18"/>
      <c r="BK78" s="15"/>
      <c r="BL78" s="15"/>
      <c r="BM78" s="15"/>
      <c r="BN78" s="15"/>
      <c r="BO78" s="15"/>
      <c r="BP78" s="15"/>
      <c r="BQ78" s="5"/>
    </row>
    <row r="79" spans="1:69" s="16" customFormat="1" ht="11.25" customHeight="1" x14ac:dyDescent="0.2">
      <c r="A79" s="54" t="s">
        <v>30</v>
      </c>
      <c r="B79" s="54"/>
      <c r="C79" s="54"/>
      <c r="D79" s="54"/>
      <c r="F79" s="10"/>
      <c r="G79" s="3"/>
      <c r="H79" s="210" t="e">
        <f t="shared" si="7"/>
        <v>#REF!</v>
      </c>
      <c r="I79" s="16" t="s">
        <v>47</v>
      </c>
      <c r="J79" s="175" t="s">
        <v>46</v>
      </c>
      <c r="K79" s="221" t="e">
        <v>#REF!</v>
      </c>
      <c r="L79" s="221" t="e">
        <v>#REF!</v>
      </c>
      <c r="M79" s="164" t="e">
        <f t="shared" si="8"/>
        <v>#REF!</v>
      </c>
      <c r="N79" s="14"/>
      <c r="O79" s="221">
        <v>0.183</v>
      </c>
      <c r="P79" s="221">
        <v>0.183</v>
      </c>
      <c r="Q79" s="221">
        <v>0.183</v>
      </c>
      <c r="R79" s="221">
        <v>0.183</v>
      </c>
      <c r="S79" s="221">
        <v>0.183</v>
      </c>
      <c r="T79" s="221">
        <v>0.183</v>
      </c>
      <c r="U79" s="19"/>
      <c r="W79" s="73">
        <f t="shared" si="4"/>
        <v>100</v>
      </c>
      <c r="X79" s="184">
        <f t="shared" si="4"/>
        <v>100</v>
      </c>
      <c r="Y79" s="184">
        <f t="shared" si="4"/>
        <v>100</v>
      </c>
      <c r="Z79" s="184">
        <f t="shared" si="4"/>
        <v>100</v>
      </c>
      <c r="AA79" s="184">
        <f t="shared" si="4"/>
        <v>100</v>
      </c>
      <c r="AB79" s="73">
        <f t="shared" si="4"/>
        <v>100</v>
      </c>
      <c r="AC79" s="4"/>
      <c r="AD79" s="73"/>
      <c r="AN79" s="136"/>
      <c r="AO79" s="16" t="e">
        <f>#REF!</f>
        <v>#REF!</v>
      </c>
      <c r="AP79" s="16" t="e">
        <f>#REF!</f>
        <v>#REF!</v>
      </c>
      <c r="AQ79" s="16" t="e">
        <f>#REF!</f>
        <v>#REF!</v>
      </c>
      <c r="AR79" s="16" t="e">
        <f>#REF!</f>
        <v>#REF!</v>
      </c>
      <c r="AS79" s="16" t="e">
        <f>#REF!</f>
        <v>#REF!</v>
      </c>
      <c r="AT79" s="16" t="e">
        <f>#REF!</f>
        <v>#REF!</v>
      </c>
      <c r="AY79" s="38"/>
      <c r="AZ79" s="38"/>
      <c r="BB79" s="10"/>
      <c r="BE79" s="74"/>
      <c r="BF79" s="74"/>
      <c r="BG79" s="91"/>
      <c r="BH79" s="8"/>
      <c r="BI79" s="14"/>
      <c r="BJ79" s="18"/>
      <c r="BK79" s="74"/>
      <c r="BL79" s="74"/>
      <c r="BM79" s="74"/>
      <c r="BN79" s="74"/>
      <c r="BO79" s="74"/>
      <c r="BP79" s="74"/>
      <c r="BQ79" s="10"/>
    </row>
    <row r="80" spans="1:69" s="9" customFormat="1" ht="11.25" customHeight="1" x14ac:dyDescent="0.2">
      <c r="A80" s="25"/>
      <c r="B80" s="25"/>
      <c r="C80" s="25"/>
      <c r="D80" s="25"/>
      <c r="F80" s="5"/>
      <c r="G80" s="10"/>
      <c r="H80" s="136" t="e">
        <f t="shared" si="7"/>
        <v>#REF!</v>
      </c>
      <c r="I80" s="9" t="s">
        <v>45</v>
      </c>
      <c r="J80" s="159" t="s">
        <v>35</v>
      </c>
      <c r="K80" s="163" t="e">
        <f>+K79*K58+K74+K76</f>
        <v>#REF!</v>
      </c>
      <c r="L80" s="163" t="e">
        <f>+L79*L58+L74+L76</f>
        <v>#REF!</v>
      </c>
      <c r="M80" s="164" t="e">
        <f t="shared" si="8"/>
        <v>#REF!</v>
      </c>
      <c r="N80" s="8"/>
      <c r="O80" s="163">
        <f>+O79*O58+O74+O76</f>
        <v>2001.4229106271937</v>
      </c>
      <c r="P80" s="163">
        <f>+P79*P58+P74+P76</f>
        <v>1887.7010327520595</v>
      </c>
      <c r="Q80" s="163">
        <f>+Q79*Q58+Q74+Q76</f>
        <v>1772.8219753293502</v>
      </c>
      <c r="R80" s="163">
        <f>+R79*R58+R74+R76</f>
        <v>1650.8920317639213</v>
      </c>
      <c r="S80" s="163">
        <f>+S79*S58+S74+S76</f>
        <v>1536.3393889961533</v>
      </c>
      <c r="T80" s="163">
        <f t="shared" ref="T80" si="12">+T79*T58+T74+T76</f>
        <v>1769.5336971807508</v>
      </c>
      <c r="U80" s="1"/>
      <c r="W80" s="8">
        <f t="shared" si="4"/>
        <v>112.89474851277012</v>
      </c>
      <c r="X80" s="163">
        <f t="shared" si="4"/>
        <v>106.48001091036608</v>
      </c>
      <c r="Y80" s="163">
        <f t="shared" si="4"/>
        <v>100</v>
      </c>
      <c r="Z80" s="163">
        <f t="shared" si="4"/>
        <v>93.122268041449729</v>
      </c>
      <c r="AA80" s="163">
        <f t="shared" si="4"/>
        <v>86.660669281851398</v>
      </c>
      <c r="AB80" s="8">
        <f t="shared" si="4"/>
        <v>99.814517295342725</v>
      </c>
      <c r="AC80" s="8"/>
      <c r="AD80" s="8"/>
      <c r="AN80" s="136"/>
      <c r="AO80" s="9" t="e">
        <f>#REF!</f>
        <v>#REF!</v>
      </c>
      <c r="AP80" s="9" t="e">
        <f>#REF!</f>
        <v>#REF!</v>
      </c>
      <c r="AQ80" s="9" t="e">
        <f>#REF!</f>
        <v>#REF!</v>
      </c>
      <c r="AR80" s="9" t="e">
        <f>#REF!</f>
        <v>#REF!</v>
      </c>
      <c r="AS80" s="9" t="e">
        <f>#REF!</f>
        <v>#REF!</v>
      </c>
      <c r="AT80" s="9" t="e">
        <f>#REF!</f>
        <v>#REF!</v>
      </c>
      <c r="AY80" s="38"/>
      <c r="AZ80" s="38"/>
      <c r="BB80" s="5"/>
      <c r="BE80" s="8"/>
      <c r="BF80" s="8"/>
      <c r="BG80" s="91"/>
      <c r="BH80" s="8"/>
      <c r="BI80" s="8"/>
      <c r="BJ80" s="18"/>
      <c r="BK80" s="8"/>
      <c r="BL80" s="8"/>
      <c r="BM80" s="8"/>
      <c r="BN80" s="8"/>
      <c r="BO80" s="8"/>
      <c r="BP80" s="8"/>
      <c r="BQ80" s="5"/>
    </row>
    <row r="81" spans="1:69" ht="11.25" customHeight="1" x14ac:dyDescent="0.25">
      <c r="H81" s="136" t="e">
        <f t="shared" si="7"/>
        <v>#REF!</v>
      </c>
      <c r="I81" s="1" t="s">
        <v>44</v>
      </c>
      <c r="J81" s="162" t="s">
        <v>35</v>
      </c>
      <c r="K81" s="177" t="e">
        <f>+K80-K83</f>
        <v>#REF!</v>
      </c>
      <c r="L81" s="177" t="e">
        <f>+L80-L83</f>
        <v>#REF!</v>
      </c>
      <c r="M81" s="164"/>
      <c r="N81" s="8"/>
      <c r="O81" s="177">
        <f>+O80-O83</f>
        <v>0</v>
      </c>
      <c r="P81" s="177">
        <f>+P80-P83</f>
        <v>0</v>
      </c>
      <c r="Q81" s="177">
        <f>+Q80-Q83</f>
        <v>0</v>
      </c>
      <c r="R81" s="177">
        <f>+R80-R83</f>
        <v>0</v>
      </c>
      <c r="S81" s="177">
        <f>+S80-S83</f>
        <v>0</v>
      </c>
      <c r="T81" s="177">
        <f t="shared" ref="T81" si="13">+T80-T83</f>
        <v>0</v>
      </c>
      <c r="W81" s="4"/>
      <c r="X81" s="177"/>
      <c r="Y81" s="177"/>
      <c r="Z81" s="177"/>
      <c r="AA81" s="177"/>
      <c r="AB81" s="4"/>
      <c r="AC81" s="4"/>
      <c r="AD81" s="4"/>
      <c r="AN81" s="136"/>
      <c r="AY81" s="38"/>
      <c r="AZ81" s="38"/>
      <c r="BE81" s="4"/>
      <c r="BF81" s="4"/>
      <c r="BG81" s="91"/>
      <c r="BH81" s="8"/>
      <c r="BI81" s="8"/>
      <c r="BJ81" s="18"/>
      <c r="BK81" s="4"/>
      <c r="BL81" s="4"/>
      <c r="BM81" s="4"/>
      <c r="BN81" s="4"/>
      <c r="BO81" s="4"/>
      <c r="BP81" s="4"/>
    </row>
    <row r="82" spans="1:69" ht="11.25" customHeight="1" x14ac:dyDescent="0.25">
      <c r="H82" s="136" t="e">
        <f t="shared" si="7"/>
        <v>#REF!</v>
      </c>
      <c r="I82" s="151" t="s">
        <v>43</v>
      </c>
      <c r="J82" s="165"/>
      <c r="K82" s="171"/>
      <c r="L82" s="171"/>
      <c r="M82" s="170"/>
      <c r="N82" s="8"/>
      <c r="O82" s="171"/>
      <c r="P82" s="171"/>
      <c r="Q82" s="171"/>
      <c r="R82" s="171"/>
      <c r="S82" s="171"/>
      <c r="T82" s="171"/>
      <c r="W82" s="156"/>
      <c r="X82" s="171"/>
      <c r="Y82" s="171"/>
      <c r="Z82" s="171"/>
      <c r="AA82" s="171"/>
      <c r="AB82" s="156"/>
      <c r="AC82" s="4"/>
      <c r="AD82" s="4"/>
      <c r="AN82" s="136"/>
      <c r="AY82" s="38"/>
      <c r="AZ82" s="38"/>
      <c r="BC82" s="9"/>
      <c r="BE82" s="4"/>
      <c r="BF82" s="4"/>
      <c r="BG82" s="91"/>
      <c r="BH82" s="18"/>
      <c r="BI82" s="8"/>
      <c r="BJ82" s="18"/>
      <c r="BK82" s="4"/>
      <c r="BL82" s="4"/>
      <c r="BM82" s="4"/>
      <c r="BN82" s="4"/>
      <c r="BO82" s="4"/>
      <c r="BP82" s="4"/>
    </row>
    <row r="83" spans="1:69" ht="11.25" customHeight="1" x14ac:dyDescent="0.25">
      <c r="A83" s="25" t="s">
        <v>29</v>
      </c>
      <c r="H83" s="136" t="e">
        <f t="shared" si="7"/>
        <v>#REF!</v>
      </c>
      <c r="I83" s="152" t="s">
        <v>42</v>
      </c>
      <c r="J83" s="165" t="s">
        <v>35</v>
      </c>
      <c r="K83" s="171" t="e">
        <v>#REF!</v>
      </c>
      <c r="L83" s="171" t="e">
        <v>#REF!</v>
      </c>
      <c r="M83" s="172" t="e">
        <f t="shared" ref="M83:M90" si="14">L83/K83*100</f>
        <v>#REF!</v>
      </c>
      <c r="N83" s="8"/>
      <c r="O83" s="171">
        <v>2001.4229106271937</v>
      </c>
      <c r="P83" s="171">
        <v>1887.7010327520595</v>
      </c>
      <c r="Q83" s="171">
        <v>1772.8219753293502</v>
      </c>
      <c r="R83" s="171">
        <v>1650.8920317639213</v>
      </c>
      <c r="S83" s="171">
        <v>1536.3393889961533</v>
      </c>
      <c r="T83" s="171">
        <v>1769.5336971807508</v>
      </c>
      <c r="W83" s="156">
        <f t="shared" si="4"/>
        <v>112.89474851277012</v>
      </c>
      <c r="X83" s="171">
        <f t="shared" si="4"/>
        <v>106.48001091036608</v>
      </c>
      <c r="Y83" s="171">
        <f t="shared" si="4"/>
        <v>100</v>
      </c>
      <c r="Z83" s="171">
        <f t="shared" si="4"/>
        <v>93.122268041449729</v>
      </c>
      <c r="AA83" s="171">
        <f t="shared" si="4"/>
        <v>86.660669281851398</v>
      </c>
      <c r="AB83" s="156">
        <f t="shared" si="4"/>
        <v>99.814517295342725</v>
      </c>
      <c r="AC83" s="4"/>
      <c r="AD83" s="4"/>
      <c r="AN83" s="136"/>
      <c r="AY83" s="38"/>
      <c r="AZ83" s="38"/>
      <c r="BE83" s="41"/>
      <c r="BF83" s="41"/>
      <c r="BG83" s="91"/>
      <c r="BH83" s="18"/>
      <c r="BI83" s="17"/>
      <c r="BJ83" s="18"/>
      <c r="BK83" s="41"/>
      <c r="BL83" s="41"/>
      <c r="BM83" s="41"/>
      <c r="BN83" s="41"/>
      <c r="BO83" s="41"/>
      <c r="BP83" s="41"/>
    </row>
    <row r="84" spans="1:69" ht="11.25" customHeight="1" x14ac:dyDescent="0.25">
      <c r="A84" s="25" t="s">
        <v>28</v>
      </c>
      <c r="H84" s="136" t="e">
        <f t="shared" si="7"/>
        <v>#REF!</v>
      </c>
      <c r="I84" s="152" t="s">
        <v>41</v>
      </c>
      <c r="J84" s="165" t="s">
        <v>35</v>
      </c>
      <c r="K84" s="171" t="e">
        <v>#REF!</v>
      </c>
      <c r="L84" s="171" t="e">
        <v>#REF!</v>
      </c>
      <c r="M84" s="172" t="e">
        <f t="shared" si="14"/>
        <v>#REF!</v>
      </c>
      <c r="N84" s="8"/>
      <c r="O84" s="171">
        <v>1848.2298144581384</v>
      </c>
      <c r="P84" s="171">
        <v>1771.2016701339001</v>
      </c>
      <c r="Q84" s="171">
        <v>1660.2187486212792</v>
      </c>
      <c r="R84" s="171">
        <v>1589.6558623592798</v>
      </c>
      <c r="S84" s="171">
        <v>1511.3583555000332</v>
      </c>
      <c r="T84" s="171">
        <v>1580.7600423539811</v>
      </c>
      <c r="W84" s="156">
        <f t="shared" si="4"/>
        <v>111.32447552426402</v>
      </c>
      <c r="X84" s="171">
        <f t="shared" si="4"/>
        <v>106.68483726043848</v>
      </c>
      <c r="Y84" s="171">
        <f t="shared" si="4"/>
        <v>100</v>
      </c>
      <c r="Z84" s="171">
        <f t="shared" si="4"/>
        <v>95.749783796828098</v>
      </c>
      <c r="AA84" s="171">
        <f t="shared" si="4"/>
        <v>91.033687985702699</v>
      </c>
      <c r="AB84" s="156">
        <f t="shared" si="4"/>
        <v>95.213961634074778</v>
      </c>
      <c r="AC84" s="4"/>
      <c r="AD84" s="4"/>
      <c r="AN84" s="136"/>
      <c r="AY84" s="38"/>
      <c r="AZ84" s="38"/>
      <c r="BE84" s="7"/>
      <c r="BF84" s="7"/>
      <c r="BG84" s="91"/>
      <c r="BH84" s="18"/>
      <c r="BI84" s="17"/>
      <c r="BJ84" s="18"/>
      <c r="BK84" s="7"/>
      <c r="BL84" s="7"/>
      <c r="BM84" s="7"/>
      <c r="BN84" s="7"/>
      <c r="BO84" s="7"/>
      <c r="BP84" s="7"/>
    </row>
    <row r="85" spans="1:69" ht="11.25" customHeight="1" x14ac:dyDescent="0.25">
      <c r="A85" s="25" t="s">
        <v>27</v>
      </c>
      <c r="H85" s="136" t="e">
        <f t="shared" si="7"/>
        <v>#REF!</v>
      </c>
      <c r="I85" s="152" t="s">
        <v>40</v>
      </c>
      <c r="J85" s="165" t="s">
        <v>35</v>
      </c>
      <c r="K85" s="171" t="e">
        <v>#REF!</v>
      </c>
      <c r="L85" s="171" t="e">
        <v>#REF!</v>
      </c>
      <c r="M85" s="172" t="e">
        <f t="shared" si="14"/>
        <v>#REF!</v>
      </c>
      <c r="N85" s="8"/>
      <c r="O85" s="171">
        <v>1345.7029571306948</v>
      </c>
      <c r="P85" s="171">
        <v>1279.30725085278</v>
      </c>
      <c r="Q85" s="171">
        <v>1195.1220461070516</v>
      </c>
      <c r="R85" s="171">
        <v>1139.8876795988547</v>
      </c>
      <c r="S85" s="171">
        <v>1082.7845404147827</v>
      </c>
      <c r="T85" s="171">
        <v>1168.3388153892795</v>
      </c>
      <c r="W85" s="156">
        <f t="shared" si="4"/>
        <v>112.59962624856099</v>
      </c>
      <c r="X85" s="171">
        <f t="shared" si="4"/>
        <v>107.04406759292495</v>
      </c>
      <c r="Y85" s="171">
        <f t="shared" si="4"/>
        <v>100</v>
      </c>
      <c r="Z85" s="171">
        <f t="shared" si="4"/>
        <v>95.378349291763527</v>
      </c>
      <c r="AA85" s="171">
        <f t="shared" si="4"/>
        <v>90.600331902654361</v>
      </c>
      <c r="AB85" s="156">
        <f t="shared" si="4"/>
        <v>97.758954342360695</v>
      </c>
      <c r="AC85" s="4"/>
      <c r="AD85" s="4"/>
      <c r="AN85" s="136"/>
      <c r="AY85" s="38"/>
      <c r="AZ85" s="38"/>
      <c r="BE85" s="7"/>
      <c r="BF85" s="7"/>
      <c r="BG85" s="91"/>
      <c r="BH85" s="18"/>
      <c r="BI85" s="17"/>
      <c r="BJ85" s="18"/>
      <c r="BK85" s="7"/>
      <c r="BL85" s="7"/>
      <c r="BM85" s="7"/>
      <c r="BN85" s="7"/>
      <c r="BO85" s="7"/>
      <c r="BP85" s="7"/>
    </row>
    <row r="86" spans="1:69" ht="11.25" customHeight="1" x14ac:dyDescent="0.25">
      <c r="A86" s="25" t="s">
        <v>26</v>
      </c>
      <c r="H86" s="136" t="e">
        <f t="shared" si="7"/>
        <v>#REF!</v>
      </c>
      <c r="I86" s="152" t="s">
        <v>39</v>
      </c>
      <c r="J86" s="165" t="s">
        <v>35</v>
      </c>
      <c r="K86" s="171" t="e">
        <v>#REF!</v>
      </c>
      <c r="L86" s="171" t="e">
        <v>#REF!</v>
      </c>
      <c r="M86" s="172" t="e">
        <f t="shared" si="14"/>
        <v>#REF!</v>
      </c>
      <c r="N86" s="8"/>
      <c r="O86" s="171">
        <v>122.0367935729096</v>
      </c>
      <c r="P86" s="171">
        <v>120.34588171166999</v>
      </c>
      <c r="Q86" s="171">
        <v>113.71908827072905</v>
      </c>
      <c r="R86" s="171">
        <v>110.57606675645914</v>
      </c>
      <c r="S86" s="171">
        <v>105.82326711789911</v>
      </c>
      <c r="T86" s="171">
        <v>94.830056471999072</v>
      </c>
      <c r="W86" s="156">
        <f t="shared" si="4"/>
        <v>107.31425605732852</v>
      </c>
      <c r="X86" s="171">
        <f t="shared" si="4"/>
        <v>105.82733606267108</v>
      </c>
      <c r="Y86" s="171">
        <f t="shared" si="4"/>
        <v>100</v>
      </c>
      <c r="Z86" s="171">
        <f t="shared" si="4"/>
        <v>97.236153083827602</v>
      </c>
      <c r="AA86" s="171">
        <f t="shared" si="4"/>
        <v>93.05673192346346</v>
      </c>
      <c r="AB86" s="156">
        <f t="shared" si="4"/>
        <v>83.389743897909923</v>
      </c>
      <c r="AC86" s="4"/>
      <c r="AD86" s="4"/>
      <c r="AN86" s="136"/>
      <c r="AY86" s="38"/>
      <c r="AZ86" s="38"/>
      <c r="BE86" s="41"/>
      <c r="BF86" s="41"/>
      <c r="BG86" s="91"/>
      <c r="BH86" s="18"/>
      <c r="BI86" s="17"/>
      <c r="BJ86" s="18"/>
      <c r="BK86" s="41"/>
      <c r="BL86" s="41"/>
      <c r="BM86" s="41"/>
      <c r="BN86" s="41"/>
      <c r="BO86" s="41"/>
      <c r="BP86" s="41"/>
    </row>
    <row r="87" spans="1:69" s="9" customFormat="1" ht="11.25" customHeight="1" x14ac:dyDescent="0.2">
      <c r="A87" s="25"/>
      <c r="B87" s="25"/>
      <c r="C87" s="25"/>
      <c r="D87" s="25"/>
      <c r="F87" s="5"/>
      <c r="G87" s="10"/>
      <c r="H87" s="136" t="e">
        <f t="shared" si="7"/>
        <v>#REF!</v>
      </c>
      <c r="I87" s="151" t="s">
        <v>38</v>
      </c>
      <c r="J87" s="168" t="s">
        <v>35</v>
      </c>
      <c r="K87" s="169" t="e">
        <f>+K84-K85-K86</f>
        <v>#REF!</v>
      </c>
      <c r="L87" s="169" t="e">
        <f>+L84-L85-L86</f>
        <v>#REF!</v>
      </c>
      <c r="M87" s="170" t="e">
        <f t="shared" si="14"/>
        <v>#REF!</v>
      </c>
      <c r="N87" s="8"/>
      <c r="O87" s="169">
        <f>+O84-O85-O86</f>
        <v>380.49006375453405</v>
      </c>
      <c r="P87" s="169">
        <f>+P84-P85-P86</f>
        <v>371.54853756944999</v>
      </c>
      <c r="Q87" s="169">
        <f>+Q84-Q85-Q86</f>
        <v>351.37761424349861</v>
      </c>
      <c r="R87" s="169">
        <f>+R84-R85-R86</f>
        <v>339.19211600396602</v>
      </c>
      <c r="S87" s="169">
        <f>+S84-S85-S86</f>
        <v>322.75054796735145</v>
      </c>
      <c r="T87" s="169">
        <f t="shared" ref="T87" si="15">+T84-T85-T86</f>
        <v>317.59117049270259</v>
      </c>
      <c r="U87" s="1"/>
      <c r="W87" s="155">
        <f t="shared" si="4"/>
        <v>108.28523170826159</v>
      </c>
      <c r="X87" s="169">
        <f t="shared" si="4"/>
        <v>105.74052600629626</v>
      </c>
      <c r="Y87" s="169">
        <f t="shared" si="4"/>
        <v>100</v>
      </c>
      <c r="Z87" s="169">
        <f t="shared" si="4"/>
        <v>96.532078952790584</v>
      </c>
      <c r="AA87" s="169">
        <f t="shared" si="4"/>
        <v>91.852905502309795</v>
      </c>
      <c r="AB87" s="155">
        <f t="shared" si="4"/>
        <v>90.384577052941509</v>
      </c>
      <c r="AC87" s="8"/>
      <c r="AD87" s="8"/>
      <c r="AN87" s="136"/>
      <c r="AY87" s="38"/>
      <c r="AZ87" s="38"/>
      <c r="BB87" s="5"/>
      <c r="BE87" s="8"/>
      <c r="BF87" s="8"/>
      <c r="BG87" s="91"/>
      <c r="BH87" s="18"/>
      <c r="BI87" s="18"/>
      <c r="BJ87" s="18"/>
      <c r="BK87" s="8"/>
      <c r="BL87" s="8"/>
      <c r="BM87" s="8"/>
      <c r="BN87" s="8"/>
      <c r="BO87" s="8"/>
      <c r="BP87" s="8"/>
      <c r="BQ87" s="5"/>
    </row>
    <row r="88" spans="1:69" ht="11.25" customHeight="1" x14ac:dyDescent="0.25">
      <c r="H88" s="136" t="e">
        <f t="shared" si="7"/>
        <v>#REF!</v>
      </c>
      <c r="I88" s="152" t="s">
        <v>37</v>
      </c>
      <c r="J88" s="165" t="s">
        <v>35</v>
      </c>
      <c r="K88" s="171" t="e">
        <f>+K83-K85</f>
        <v>#REF!</v>
      </c>
      <c r="L88" s="171" t="e">
        <f>+L83-L85</f>
        <v>#REF!</v>
      </c>
      <c r="M88" s="172" t="e">
        <f t="shared" si="14"/>
        <v>#REF!</v>
      </c>
      <c r="N88" s="8"/>
      <c r="O88" s="171">
        <f>+O83-O85</f>
        <v>655.71995349649887</v>
      </c>
      <c r="P88" s="171">
        <f>+P83-P85</f>
        <v>608.39378189927947</v>
      </c>
      <c r="Q88" s="171">
        <f>+Q83-Q85</f>
        <v>577.69992922229858</v>
      </c>
      <c r="R88" s="171">
        <f>+R83-R85</f>
        <v>511.00435216506662</v>
      </c>
      <c r="S88" s="171">
        <f>+S83-S85</f>
        <v>453.55484858137061</v>
      </c>
      <c r="T88" s="171">
        <f t="shared" ref="T88" si="16">+T83-T85</f>
        <v>601.19488179147129</v>
      </c>
      <c r="W88" s="156">
        <f t="shared" si="4"/>
        <v>113.50528541335136</v>
      </c>
      <c r="X88" s="171">
        <f t="shared" si="4"/>
        <v>105.31311345637538</v>
      </c>
      <c r="Y88" s="171">
        <f t="shared" si="4"/>
        <v>100</v>
      </c>
      <c r="Z88" s="171">
        <f t="shared" si="4"/>
        <v>88.454979188414001</v>
      </c>
      <c r="AA88" s="171">
        <f t="shared" si="4"/>
        <v>78.510455971830822</v>
      </c>
      <c r="AB88" s="156">
        <f t="shared" si="4"/>
        <v>104.06698207507168</v>
      </c>
      <c r="AC88" s="4"/>
      <c r="AD88" s="4"/>
      <c r="AN88" s="136"/>
      <c r="AY88" s="38"/>
      <c r="AZ88" s="38"/>
      <c r="BE88" s="4"/>
      <c r="BF88" s="4"/>
      <c r="BG88" s="91"/>
      <c r="BH88" s="18"/>
      <c r="BI88" s="17"/>
      <c r="BJ88" s="18"/>
      <c r="BK88" s="4"/>
      <c r="BL88" s="4"/>
      <c r="BM88" s="4"/>
      <c r="BN88" s="4"/>
      <c r="BO88" s="4"/>
      <c r="BP88" s="4"/>
    </row>
    <row r="89" spans="1:69" s="9" customFormat="1" ht="11.25" customHeight="1" x14ac:dyDescent="0.2">
      <c r="A89" s="25"/>
      <c r="B89" s="25"/>
      <c r="C89" s="25"/>
      <c r="D89" s="25"/>
      <c r="F89" s="5"/>
      <c r="G89" s="10"/>
      <c r="H89" s="136" t="e">
        <f t="shared" si="7"/>
        <v>#REF!</v>
      </c>
      <c r="I89" s="151" t="s">
        <v>36</v>
      </c>
      <c r="J89" s="168" t="s">
        <v>35</v>
      </c>
      <c r="K89" s="169" t="e">
        <f>+K88-K86</f>
        <v>#REF!</v>
      </c>
      <c r="L89" s="169" t="e">
        <f>+L88-L86</f>
        <v>#REF!</v>
      </c>
      <c r="M89" s="170" t="e">
        <f t="shared" si="14"/>
        <v>#REF!</v>
      </c>
      <c r="N89" s="8"/>
      <c r="O89" s="169">
        <f>+O88-O86</f>
        <v>533.6831599235893</v>
      </c>
      <c r="P89" s="169">
        <f>+P88-P86</f>
        <v>488.04790018760946</v>
      </c>
      <c r="Q89" s="169">
        <f>+Q88-Q86</f>
        <v>463.98084095156952</v>
      </c>
      <c r="R89" s="169">
        <f>+R88-R86</f>
        <v>400.42828540860751</v>
      </c>
      <c r="S89" s="169">
        <f>+S88-S86</f>
        <v>347.73158146347151</v>
      </c>
      <c r="T89" s="169">
        <f t="shared" ref="T89" si="17">+T88-T86</f>
        <v>506.36482531947223</v>
      </c>
      <c r="U89" s="1"/>
      <c r="W89" s="155">
        <f t="shared" si="4"/>
        <v>115.02267180452293</v>
      </c>
      <c r="X89" s="169">
        <f t="shared" si="4"/>
        <v>105.18708039467346</v>
      </c>
      <c r="Y89" s="169">
        <f t="shared" si="4"/>
        <v>100</v>
      </c>
      <c r="Z89" s="169">
        <f t="shared" si="4"/>
        <v>86.302762973440181</v>
      </c>
      <c r="AA89" s="169">
        <f t="shared" si="4"/>
        <v>74.945245745560399</v>
      </c>
      <c r="AB89" s="155">
        <f t="shared" si="4"/>
        <v>109.13485657747812</v>
      </c>
      <c r="AC89" s="8"/>
      <c r="AD89" s="8"/>
      <c r="AN89" s="136"/>
      <c r="AY89" s="38"/>
      <c r="AZ89" s="38"/>
      <c r="BB89" s="5"/>
      <c r="BE89" s="8"/>
      <c r="BF89" s="8"/>
      <c r="BG89" s="91"/>
      <c r="BH89" s="18"/>
      <c r="BI89" s="18"/>
      <c r="BJ89" s="18"/>
      <c r="BK89" s="8"/>
      <c r="BL89" s="8"/>
      <c r="BM89" s="8"/>
      <c r="BN89" s="8"/>
      <c r="BO89" s="8"/>
      <c r="BP89" s="8"/>
      <c r="BQ89" s="5"/>
    </row>
    <row r="90" spans="1:69" ht="11.25" customHeight="1" x14ac:dyDescent="0.25">
      <c r="A90" s="25" t="s">
        <v>25</v>
      </c>
      <c r="B90" s="25" t="s">
        <v>24</v>
      </c>
      <c r="H90" s="136" t="e">
        <f t="shared" si="7"/>
        <v>#REF!</v>
      </c>
      <c r="I90" s="152" t="s">
        <v>34</v>
      </c>
      <c r="J90" s="167" t="s">
        <v>33</v>
      </c>
      <c r="K90" s="171" t="e">
        <v>#REF!</v>
      </c>
      <c r="L90" s="171" t="e">
        <v>#REF!</v>
      </c>
      <c r="M90" s="172" t="e">
        <f t="shared" si="14"/>
        <v>#REF!</v>
      </c>
      <c r="N90" s="8"/>
      <c r="O90" s="171">
        <v>22.802856964329109</v>
      </c>
      <c r="P90" s="171">
        <v>21.487360898268179</v>
      </c>
      <c r="Q90" s="171">
        <v>21.888562172823971</v>
      </c>
      <c r="R90" s="171">
        <v>19.758566914796326</v>
      </c>
      <c r="S90" s="171">
        <v>18.310244708618075</v>
      </c>
      <c r="T90" s="171">
        <v>26.905591414199108</v>
      </c>
      <c r="W90" s="156">
        <f t="shared" si="4"/>
        <v>104.17704362802</v>
      </c>
      <c r="X90" s="171">
        <f t="shared" si="4"/>
        <v>98.16707341766876</v>
      </c>
      <c r="Y90" s="171">
        <f t="shared" si="4"/>
        <v>100</v>
      </c>
      <c r="Z90" s="171">
        <f t="shared" si="4"/>
        <v>90.268911949492193</v>
      </c>
      <c r="AA90" s="171">
        <f t="shared" si="4"/>
        <v>83.652112752071943</v>
      </c>
      <c r="AB90" s="156">
        <f t="shared" si="4"/>
        <v>122.92078027676069</v>
      </c>
      <c r="AC90" s="4"/>
      <c r="AD90" s="4"/>
      <c r="AE90" s="339" t="s">
        <v>171</v>
      </c>
      <c r="AF90" s="340"/>
      <c r="AG90" s="340"/>
      <c r="AH90" s="340"/>
      <c r="AI90" s="340"/>
      <c r="AJ90" s="340"/>
      <c r="AK90" s="340"/>
      <c r="AL90" s="340"/>
      <c r="AM90" s="340"/>
      <c r="AN90" s="136"/>
      <c r="AY90" s="38"/>
      <c r="AZ90" s="38"/>
      <c r="BD90" s="19"/>
      <c r="BE90" s="41"/>
      <c r="BF90" s="41"/>
      <c r="BG90" s="91"/>
      <c r="BH90" s="18"/>
      <c r="BI90" s="17"/>
      <c r="BJ90" s="18"/>
      <c r="BK90" s="41"/>
      <c r="BL90" s="41"/>
      <c r="BM90" s="41"/>
      <c r="BN90" s="41"/>
      <c r="BO90" s="41"/>
      <c r="BP90" s="41"/>
    </row>
    <row r="91" spans="1:69" ht="12" customHeight="1" x14ac:dyDescent="0.25">
      <c r="A91" s="37" t="s">
        <v>67</v>
      </c>
      <c r="H91" s="136" t="e">
        <f t="shared" si="7"/>
        <v>#REF!</v>
      </c>
      <c r="J91" s="19"/>
      <c r="K91" s="35" t="e">
        <v>#REF!</v>
      </c>
      <c r="L91" s="35" t="e">
        <v>#REF!</v>
      </c>
      <c r="M91" s="36"/>
      <c r="N91" s="36"/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5">
        <v>0</v>
      </c>
      <c r="U91" s="35"/>
      <c r="W91" s="4"/>
      <c r="X91" s="4"/>
      <c r="Y91" s="4"/>
      <c r="Z91" s="4"/>
      <c r="AA91" s="4"/>
      <c r="AB91" s="4"/>
      <c r="AC91" s="4"/>
      <c r="AD91" s="4"/>
      <c r="AE91" s="192" t="str">
        <f>AF$10&amp;""&amp;$L$56</f>
        <v>prva ocena letine 2021</v>
      </c>
      <c r="AN91" s="136"/>
      <c r="BD91" s="19"/>
      <c r="BE91" s="35"/>
      <c r="BF91" s="35"/>
      <c r="BG91" s="91"/>
      <c r="BH91" s="35"/>
      <c r="BI91" s="36"/>
      <c r="BJ91" s="36"/>
      <c r="BK91" s="35"/>
      <c r="BL91" s="35"/>
      <c r="BM91" s="35"/>
      <c r="BN91" s="35"/>
      <c r="BO91" s="35"/>
      <c r="BP91" s="35"/>
    </row>
    <row r="92" spans="1:69" ht="15" customHeight="1" x14ac:dyDescent="0.25">
      <c r="A92" s="110" t="s">
        <v>66</v>
      </c>
      <c r="B92" s="110"/>
      <c r="C92" s="110"/>
      <c r="D92" s="110"/>
      <c r="E92" s="111"/>
      <c r="F92" s="29"/>
      <c r="G92" s="29"/>
      <c r="H92" s="136" t="str">
        <f>+I94</f>
        <v>Ječmen tržni</v>
      </c>
      <c r="I92" s="144" t="s">
        <v>148</v>
      </c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  <c r="AL92" s="140"/>
      <c r="AM92" s="140"/>
      <c r="AN92" s="136"/>
      <c r="BC92" s="13"/>
      <c r="BD92" s="91"/>
      <c r="BE92" s="91"/>
      <c r="BF92" s="91"/>
      <c r="BG92" s="91"/>
      <c r="BH92" s="92"/>
      <c r="BI92" s="91"/>
      <c r="BJ92" s="91"/>
      <c r="BK92" s="91"/>
      <c r="BL92" s="91"/>
      <c r="BM92" s="91"/>
      <c r="BN92" s="91"/>
      <c r="BO92" s="91"/>
      <c r="BP92" s="91"/>
    </row>
    <row r="93" spans="1:69" ht="14.25" customHeight="1" x14ac:dyDescent="0.25">
      <c r="A93" s="110"/>
      <c r="B93" s="110"/>
      <c r="C93" s="110"/>
      <c r="D93" s="110"/>
      <c r="E93" s="111"/>
      <c r="F93" s="29"/>
      <c r="G93" s="29"/>
      <c r="H93" s="136" t="str">
        <f>+H92</f>
        <v>Ječmen tržni</v>
      </c>
      <c r="I93" s="144" t="s">
        <v>149</v>
      </c>
      <c r="J93" s="140"/>
      <c r="K93" s="143" t="str">
        <f>+F94</f>
        <v>jecmenT</v>
      </c>
      <c r="L93" s="143" t="str">
        <f>+K93</f>
        <v>jecmenT</v>
      </c>
      <c r="M93" s="143"/>
      <c r="N93" s="143"/>
      <c r="O93" s="143" t="s">
        <v>146</v>
      </c>
      <c r="P93" s="143" t="s">
        <v>164</v>
      </c>
      <c r="Q93" s="143" t="s">
        <v>145</v>
      </c>
      <c r="R93" s="143" t="s">
        <v>163</v>
      </c>
      <c r="S93" s="143" t="s">
        <v>162</v>
      </c>
      <c r="T93" s="143" t="s">
        <v>165</v>
      </c>
      <c r="U93" s="143"/>
      <c r="V93" s="139"/>
      <c r="W93" s="139"/>
      <c r="X93" s="140"/>
      <c r="Y93" s="140"/>
      <c r="Z93" s="140"/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  <c r="AN93" s="136"/>
      <c r="BC93" s="13"/>
      <c r="BD93" s="68"/>
      <c r="BE93" s="12"/>
      <c r="BF93" s="12"/>
      <c r="BG93" s="91"/>
      <c r="BH93" s="68"/>
      <c r="BI93" s="68"/>
      <c r="BJ93" s="68"/>
      <c r="BK93" s="12"/>
      <c r="BL93" s="12"/>
      <c r="BM93" s="12"/>
      <c r="BN93" s="12"/>
      <c r="BO93" s="12"/>
      <c r="BP93" s="12"/>
    </row>
    <row r="94" spans="1:69" ht="15" customHeight="1" x14ac:dyDescent="0.25">
      <c r="F94" s="5" t="s">
        <v>118</v>
      </c>
      <c r="H94" s="136" t="str">
        <f>+H93</f>
        <v>Ječmen tržni</v>
      </c>
      <c r="I94" s="149" t="s">
        <v>262</v>
      </c>
      <c r="J94" s="158"/>
      <c r="K94" s="185">
        <f>K$52</f>
        <v>2020</v>
      </c>
      <c r="L94" s="185">
        <f>+L$56</f>
        <v>2021</v>
      </c>
      <c r="M94" s="341" t="str">
        <f>"Indeks "&amp;L94&amp;"/"&amp;RIGHT(K94,2)</f>
        <v>Indeks 2021/20</v>
      </c>
      <c r="N94" s="186"/>
      <c r="O94" s="179"/>
      <c r="P94" s="179"/>
      <c r="Q94" s="179" t="str">
        <f>+L94&amp;" "&amp;L$51</f>
        <v>2021 (prva ocena)</v>
      </c>
      <c r="R94" s="179"/>
      <c r="S94" s="179"/>
      <c r="T94" s="179"/>
      <c r="U94" s="142"/>
      <c r="V94" s="142"/>
      <c r="W94" s="179"/>
      <c r="X94" s="179"/>
      <c r="Y94" s="179" t="s">
        <v>160</v>
      </c>
      <c r="Z94" s="179"/>
      <c r="AA94" s="179"/>
      <c r="AB94" s="179"/>
      <c r="AC94" s="66"/>
      <c r="AD94" s="66"/>
      <c r="AN94" s="5"/>
      <c r="BC94" s="103"/>
      <c r="BE94" s="66"/>
      <c r="BF94" s="66"/>
      <c r="BG94" s="91"/>
      <c r="BH94" s="34"/>
      <c r="BI94" s="67"/>
      <c r="BJ94" s="34"/>
      <c r="BK94" s="66"/>
      <c r="BL94" s="66"/>
      <c r="BM94" s="66"/>
      <c r="BN94" s="66"/>
      <c r="BO94" s="66"/>
      <c r="BP94" s="66"/>
    </row>
    <row r="95" spans="1:69" ht="23.25" customHeight="1" x14ac:dyDescent="0.25">
      <c r="H95" s="136" t="str">
        <f>+H94</f>
        <v>Ječmen tržni</v>
      </c>
      <c r="I95" s="150" t="s">
        <v>84</v>
      </c>
      <c r="J95" s="158" t="str">
        <f>+J57</f>
        <v>Enota</v>
      </c>
      <c r="K95" s="185"/>
      <c r="L95" s="330" t="str">
        <f>IF(ISBLANK(L$51),"",L$51)</f>
        <v>(prva ocena)</v>
      </c>
      <c r="M95" s="342"/>
      <c r="N95" s="186"/>
      <c r="O95" s="187" t="s">
        <v>83</v>
      </c>
      <c r="P95" s="185" t="s">
        <v>82</v>
      </c>
      <c r="Q95" s="214" t="s">
        <v>81</v>
      </c>
      <c r="R95" s="185" t="s">
        <v>80</v>
      </c>
      <c r="S95" s="185" t="s">
        <v>79</v>
      </c>
      <c r="T95" s="205" t="s">
        <v>78</v>
      </c>
      <c r="U95" s="191"/>
      <c r="V95" s="191"/>
      <c r="W95" s="188" t="str">
        <f>+O95</f>
        <v>M 1</v>
      </c>
      <c r="X95" s="185" t="str">
        <f t="shared" ref="X95:AB95" si="18">+P95</f>
        <v>M 2</v>
      </c>
      <c r="Y95" s="214" t="str">
        <f t="shared" si="18"/>
        <v>M 3</v>
      </c>
      <c r="Z95" s="185" t="str">
        <f t="shared" si="18"/>
        <v>M 4</v>
      </c>
      <c r="AA95" s="185" t="str">
        <f t="shared" si="18"/>
        <v>M 5</v>
      </c>
      <c r="AB95" s="188" t="str">
        <f t="shared" si="18"/>
        <v>M 6</v>
      </c>
      <c r="AC95" s="66"/>
      <c r="AD95" s="66"/>
      <c r="AN95" s="5"/>
      <c r="BC95" s="9"/>
      <c r="BD95" s="9"/>
      <c r="BE95" s="66"/>
      <c r="BF95" s="66"/>
      <c r="BG95" s="91"/>
      <c r="BH95" s="34"/>
      <c r="BI95" s="66"/>
      <c r="BJ95" s="66"/>
      <c r="BK95" s="66"/>
      <c r="BL95" s="66"/>
      <c r="BM95" s="66"/>
      <c r="BN95" s="66"/>
      <c r="BO95" s="66"/>
      <c r="BP95" s="66"/>
    </row>
    <row r="96" spans="1:69" x14ac:dyDescent="0.25">
      <c r="A96" s="25" t="s">
        <v>22</v>
      </c>
      <c r="H96" s="136" t="str">
        <f>+H95</f>
        <v>Ječmen tržni</v>
      </c>
      <c r="I96" s="9" t="s">
        <v>21</v>
      </c>
      <c r="J96" s="159" t="s">
        <v>20</v>
      </c>
      <c r="K96" s="160">
        <v>5500</v>
      </c>
      <c r="L96" s="160">
        <v>5500</v>
      </c>
      <c r="M96" s="160"/>
      <c r="N96" s="78"/>
      <c r="O96" s="178">
        <v>6500</v>
      </c>
      <c r="P96" s="178">
        <v>6000</v>
      </c>
      <c r="Q96" s="178">
        <v>5500</v>
      </c>
      <c r="R96" s="178">
        <v>5000</v>
      </c>
      <c r="S96" s="178">
        <v>4500</v>
      </c>
      <c r="T96" s="178">
        <v>5500</v>
      </c>
      <c r="U96" s="2"/>
      <c r="V96" s="2"/>
      <c r="W96" s="62">
        <f>O96/$Q96*100</f>
        <v>118.18181818181819</v>
      </c>
      <c r="X96" s="180">
        <f t="shared" ref="X96:AB96" si="19">P96/$Q96*100</f>
        <v>109.09090909090908</v>
      </c>
      <c r="Y96" s="180">
        <f t="shared" si="19"/>
        <v>100</v>
      </c>
      <c r="Z96" s="180">
        <f t="shared" si="19"/>
        <v>90.909090909090907</v>
      </c>
      <c r="AA96" s="180">
        <f t="shared" si="19"/>
        <v>81.818181818181827</v>
      </c>
      <c r="AB96" s="62">
        <f t="shared" si="19"/>
        <v>100</v>
      </c>
      <c r="AC96" s="82"/>
      <c r="AD96" s="82"/>
      <c r="AN96" s="5"/>
      <c r="BC96" s="9"/>
      <c r="BD96" s="9"/>
      <c r="BE96" s="11"/>
      <c r="BF96" s="11"/>
      <c r="BG96" s="91"/>
      <c r="BH96" s="80"/>
      <c r="BI96" s="78"/>
      <c r="BJ96" s="78"/>
      <c r="BK96" s="11"/>
      <c r="BL96" s="11"/>
      <c r="BM96" s="11"/>
      <c r="BN96" s="11"/>
      <c r="BO96" s="11"/>
      <c r="BP96" s="66"/>
    </row>
    <row r="97" spans="1:69" ht="6" customHeight="1" x14ac:dyDescent="0.25">
      <c r="H97" s="136" t="str">
        <f t="shared" ref="H97:H99" si="20">+H96</f>
        <v>Ječmen tržni</v>
      </c>
      <c r="I97" s="9"/>
      <c r="J97" s="159"/>
      <c r="K97" s="161"/>
      <c r="L97" s="161"/>
      <c r="M97" s="160"/>
      <c r="N97" s="78"/>
      <c r="O97" s="161"/>
      <c r="P97" s="161"/>
      <c r="Q97" s="161"/>
      <c r="R97" s="161"/>
      <c r="S97" s="161"/>
      <c r="T97" s="161"/>
      <c r="W97" s="82"/>
      <c r="X97" s="181"/>
      <c r="Y97" s="181"/>
      <c r="Z97" s="181"/>
      <c r="AA97" s="181"/>
      <c r="AB97" s="82"/>
      <c r="AC97" s="82"/>
      <c r="AD97" s="82"/>
      <c r="AN97" s="5"/>
      <c r="BC97" s="9"/>
      <c r="BD97" s="9"/>
      <c r="BE97" s="11"/>
      <c r="BF97" s="11"/>
      <c r="BG97" s="91"/>
      <c r="BH97" s="80"/>
      <c r="BI97" s="78"/>
      <c r="BJ97" s="78"/>
      <c r="BK97" s="11"/>
      <c r="BL97" s="11"/>
      <c r="BM97" s="11"/>
      <c r="BN97" s="11"/>
      <c r="BO97" s="11"/>
      <c r="BP97" s="66"/>
    </row>
    <row r="98" spans="1:69" ht="6" customHeight="1" x14ac:dyDescent="0.25">
      <c r="H98" s="136" t="str">
        <f t="shared" si="20"/>
        <v>Ječmen tržni</v>
      </c>
      <c r="I98" s="9"/>
      <c r="J98" s="162"/>
      <c r="K98" s="161"/>
      <c r="L98" s="161"/>
      <c r="M98" s="161"/>
      <c r="N98" s="137"/>
      <c r="O98" s="161"/>
      <c r="P98" s="161"/>
      <c r="Q98" s="161"/>
      <c r="R98" s="161"/>
      <c r="S98" s="161"/>
      <c r="T98" s="161"/>
      <c r="W98" s="84"/>
      <c r="X98" s="182"/>
      <c r="Y98" s="182"/>
      <c r="Z98" s="182"/>
      <c r="AA98" s="182"/>
      <c r="AB98" s="84"/>
      <c r="AC98" s="82"/>
      <c r="AD98" s="82"/>
      <c r="AN98" s="5"/>
      <c r="BC98" s="9"/>
      <c r="BE98" s="78"/>
      <c r="BF98" s="78"/>
      <c r="BG98" s="91"/>
      <c r="BH98" s="80"/>
      <c r="BI98" s="78"/>
      <c r="BJ98" s="78"/>
      <c r="BK98" s="78"/>
      <c r="BL98" s="78"/>
      <c r="BM98" s="78"/>
      <c r="BN98" s="78"/>
      <c r="BO98" s="78"/>
      <c r="BP98" s="66"/>
    </row>
    <row r="99" spans="1:69" ht="11.25" customHeight="1" x14ac:dyDescent="0.25">
      <c r="A99" s="25" t="s">
        <v>91</v>
      </c>
      <c r="H99" s="136" t="str">
        <f t="shared" si="20"/>
        <v>Ječmen tržni</v>
      </c>
      <c r="I99" s="9" t="s">
        <v>90</v>
      </c>
      <c r="J99" s="159" t="s">
        <v>89</v>
      </c>
      <c r="K99" s="163">
        <v>1</v>
      </c>
      <c r="L99" s="163">
        <v>1</v>
      </c>
      <c r="M99" s="164"/>
      <c r="N99" s="8"/>
      <c r="O99" s="163">
        <v>1</v>
      </c>
      <c r="P99" s="163">
        <v>1</v>
      </c>
      <c r="Q99" s="163">
        <v>1</v>
      </c>
      <c r="R99" s="163">
        <v>1</v>
      </c>
      <c r="S99" s="163">
        <v>1</v>
      </c>
      <c r="T99" s="163">
        <v>5</v>
      </c>
      <c r="U99" s="9"/>
      <c r="V99" s="9"/>
      <c r="W99" s="84">
        <f>O99/$Q99*100</f>
        <v>100</v>
      </c>
      <c r="X99" s="182">
        <f t="shared" ref="X99:AB99" si="21">P99/$Q99*100</f>
        <v>100</v>
      </c>
      <c r="Y99" s="182">
        <f t="shared" si="21"/>
        <v>100</v>
      </c>
      <c r="Z99" s="182">
        <f t="shared" si="21"/>
        <v>100</v>
      </c>
      <c r="AA99" s="182">
        <f t="shared" si="21"/>
        <v>100</v>
      </c>
      <c r="AB99" s="84">
        <f t="shared" si="21"/>
        <v>500</v>
      </c>
      <c r="AC99" s="26"/>
      <c r="AD99" s="26"/>
      <c r="AN99" s="5"/>
      <c r="BC99" s="9"/>
      <c r="BE99" s="87"/>
      <c r="BF99" s="87"/>
      <c r="BG99" s="91"/>
      <c r="BH99" s="88"/>
      <c r="BI99" s="66"/>
      <c r="BJ99" s="66"/>
      <c r="BK99" s="87"/>
      <c r="BL99" s="87"/>
      <c r="BM99" s="87"/>
      <c r="BN99" s="87"/>
      <c r="BO99" s="87"/>
      <c r="BP99" s="30"/>
    </row>
    <row r="100" spans="1:69" ht="11.25" customHeight="1" x14ac:dyDescent="0.25">
      <c r="H100" s="136" t="str">
        <f>+H94</f>
        <v>Ječmen tržni</v>
      </c>
      <c r="I100" s="151" t="str">
        <f>+I$62</f>
        <v>IZVLEČEK ANALITIČNE KALKULACIJE</v>
      </c>
      <c r="J100" s="165"/>
      <c r="K100" s="166"/>
      <c r="L100" s="166"/>
      <c r="M100" s="167"/>
      <c r="O100" s="166"/>
      <c r="P100" s="166"/>
      <c r="Q100" s="166"/>
      <c r="R100" s="166"/>
      <c r="S100" s="166"/>
      <c r="T100" s="166"/>
      <c r="W100" s="154"/>
      <c r="X100" s="166"/>
      <c r="Y100" s="166"/>
      <c r="Z100" s="166"/>
      <c r="AA100" s="166"/>
      <c r="AB100" s="154"/>
      <c r="AC100" s="76"/>
      <c r="AD100" s="76"/>
      <c r="AN100" s="5"/>
      <c r="BC100" s="9"/>
      <c r="BE100" s="77"/>
      <c r="BF100" s="77"/>
      <c r="BG100" s="91"/>
      <c r="BK100" s="77"/>
      <c r="BL100" s="77"/>
      <c r="BM100" s="77"/>
      <c r="BN100" s="77"/>
      <c r="BO100" s="77"/>
      <c r="BP100" s="76"/>
    </row>
    <row r="101" spans="1:69" s="9" customFormat="1" ht="11.25" customHeight="1" x14ac:dyDescent="0.2">
      <c r="A101" s="25"/>
      <c r="B101" s="25"/>
      <c r="C101" s="25"/>
      <c r="D101" s="25"/>
      <c r="F101" s="5"/>
      <c r="G101" s="5"/>
      <c r="H101" s="136" t="str">
        <f t="shared" ref="H101:H129" si="22">+H100</f>
        <v>Ječmen tržni</v>
      </c>
      <c r="I101" s="151" t="str">
        <f>+I$63</f>
        <v>Stroški blaga in storitev</v>
      </c>
      <c r="J101" s="168" t="str">
        <f>+J$63</f>
        <v>EUR/ha</v>
      </c>
      <c r="K101" s="169">
        <f>+K111-K109-K108</f>
        <v>1176.4379593558726</v>
      </c>
      <c r="L101" s="169">
        <f>+L111-L109-L108</f>
        <v>1214.9758916547617</v>
      </c>
      <c r="M101" s="170">
        <f t="shared" ref="M101:M107" si="23">L101/K101*100</f>
        <v>103.27581509865504</v>
      </c>
      <c r="N101" s="8"/>
      <c r="O101" s="169">
        <f>+O111-O109-O108</f>
        <v>1345.152268134711</v>
      </c>
      <c r="P101" s="169">
        <f t="shared" ref="P101:T101" si="24">+P111-P109-P108</f>
        <v>1280.9441644025082</v>
      </c>
      <c r="Q101" s="169">
        <f t="shared" si="24"/>
        <v>1214.9758916547617</v>
      </c>
      <c r="R101" s="169">
        <f t="shared" si="24"/>
        <v>1163.5036012445485</v>
      </c>
      <c r="S101" s="169">
        <f t="shared" si="24"/>
        <v>1091.164254457226</v>
      </c>
      <c r="T101" s="169">
        <f t="shared" si="24"/>
        <v>1109.6483972968451</v>
      </c>
      <c r="U101" s="1"/>
      <c r="W101" s="155">
        <f t="shared" ref="W101:AB128" si="25">O101/$Q101*100</f>
        <v>110.71431765634895</v>
      </c>
      <c r="X101" s="169">
        <f t="shared" si="25"/>
        <v>105.42959520438713</v>
      </c>
      <c r="Y101" s="169">
        <f t="shared" si="25"/>
        <v>100</v>
      </c>
      <c r="Z101" s="169">
        <f t="shared" si="25"/>
        <v>95.763513435636199</v>
      </c>
      <c r="AA101" s="169">
        <f t="shared" si="25"/>
        <v>89.809539592682128</v>
      </c>
      <c r="AB101" s="155">
        <f t="shared" si="25"/>
        <v>91.330898408653724</v>
      </c>
      <c r="AC101" s="8"/>
      <c r="AD101" s="8"/>
      <c r="AN101" s="5"/>
      <c r="AY101" s="38"/>
      <c r="AZ101" s="38"/>
      <c r="BB101" s="5"/>
      <c r="BE101" s="18"/>
      <c r="BF101" s="18"/>
      <c r="BG101" s="91"/>
      <c r="BH101" s="18"/>
      <c r="BI101" s="8"/>
      <c r="BJ101" s="18"/>
      <c r="BK101" s="18"/>
      <c r="BL101" s="18"/>
      <c r="BM101" s="18"/>
      <c r="BN101" s="18"/>
      <c r="BO101" s="18"/>
      <c r="BP101" s="8"/>
      <c r="BQ101" s="5"/>
    </row>
    <row r="102" spans="1:69" ht="11.25" customHeight="1" x14ac:dyDescent="0.25">
      <c r="A102" s="25" t="s">
        <v>19</v>
      </c>
      <c r="H102" s="136" t="str">
        <f t="shared" si="22"/>
        <v>Ječmen tržni</v>
      </c>
      <c r="I102" s="152" t="str">
        <f>+I$64</f>
        <v xml:space="preserve">  Od tega: seme</v>
      </c>
      <c r="J102" s="165" t="str">
        <f>+J$64</f>
        <v>EUR/ha</v>
      </c>
      <c r="K102" s="171">
        <v>115.5</v>
      </c>
      <c r="L102" s="171">
        <v>113.52000000000001</v>
      </c>
      <c r="M102" s="172">
        <f t="shared" si="23"/>
        <v>98.285714285714292</v>
      </c>
      <c r="N102" s="8"/>
      <c r="O102" s="171">
        <v>113.52000000000001</v>
      </c>
      <c r="P102" s="171">
        <v>113.52000000000001</v>
      </c>
      <c r="Q102" s="171">
        <v>113.52000000000001</v>
      </c>
      <c r="R102" s="171">
        <v>113.52000000000001</v>
      </c>
      <c r="S102" s="171">
        <v>113.52000000000001</v>
      </c>
      <c r="T102" s="171">
        <v>113.52000000000001</v>
      </c>
      <c r="W102" s="156">
        <f t="shared" si="25"/>
        <v>100</v>
      </c>
      <c r="X102" s="171">
        <f t="shared" si="25"/>
        <v>100</v>
      </c>
      <c r="Y102" s="171">
        <f t="shared" si="25"/>
        <v>100</v>
      </c>
      <c r="Z102" s="171">
        <f t="shared" si="25"/>
        <v>100</v>
      </c>
      <c r="AA102" s="171">
        <f t="shared" si="25"/>
        <v>100</v>
      </c>
      <c r="AB102" s="156">
        <f t="shared" si="25"/>
        <v>100</v>
      </c>
      <c r="AC102" s="4"/>
      <c r="AD102" s="4"/>
      <c r="AN102" s="5"/>
      <c r="AY102" s="38"/>
      <c r="AZ102" s="38"/>
      <c r="BE102" s="7"/>
      <c r="BF102" s="7"/>
      <c r="BG102" s="91"/>
      <c r="BH102" s="18"/>
      <c r="BI102" s="4"/>
      <c r="BJ102" s="4"/>
      <c r="BK102" s="7"/>
      <c r="BL102" s="7"/>
      <c r="BM102" s="7"/>
      <c r="BN102" s="7"/>
      <c r="BO102" s="7"/>
      <c r="BP102" s="4"/>
    </row>
    <row r="103" spans="1:69" ht="11.25" customHeight="1" x14ac:dyDescent="0.25">
      <c r="A103" s="25" t="s">
        <v>18</v>
      </c>
      <c r="B103" s="25" t="s">
        <v>17</v>
      </c>
      <c r="H103" s="136" t="str">
        <f t="shared" si="22"/>
        <v>Ječmen tržni</v>
      </c>
      <c r="I103" s="152" t="str">
        <f>+I$65</f>
        <v xml:space="preserve">                 gnojila</v>
      </c>
      <c r="J103" s="165" t="str">
        <f>+J$65</f>
        <v>EUR/ha</v>
      </c>
      <c r="K103" s="171">
        <v>256.2325966682767</v>
      </c>
      <c r="L103" s="171">
        <v>261.96327108417</v>
      </c>
      <c r="M103" s="172">
        <f t="shared" si="23"/>
        <v>102.23651264140774</v>
      </c>
      <c r="N103" s="8"/>
      <c r="O103" s="171">
        <v>316.37926459931828</v>
      </c>
      <c r="P103" s="171">
        <v>289.35956121065027</v>
      </c>
      <c r="Q103" s="171">
        <v>261.96327108417</v>
      </c>
      <c r="R103" s="171">
        <v>234.56698095768974</v>
      </c>
      <c r="S103" s="171">
        <v>207.1706908312095</v>
      </c>
      <c r="T103" s="171">
        <v>261.96327108417</v>
      </c>
      <c r="W103" s="156">
        <f t="shared" si="25"/>
        <v>120.77237518448307</v>
      </c>
      <c r="X103" s="171">
        <f t="shared" si="25"/>
        <v>110.45806536660542</v>
      </c>
      <c r="Y103" s="171">
        <f t="shared" si="25"/>
        <v>100</v>
      </c>
      <c r="Z103" s="171">
        <f t="shared" si="25"/>
        <v>89.541934633394575</v>
      </c>
      <c r="AA103" s="171">
        <f t="shared" si="25"/>
        <v>79.083869266789165</v>
      </c>
      <c r="AB103" s="156">
        <f t="shared" si="25"/>
        <v>100</v>
      </c>
      <c r="AC103" s="4"/>
      <c r="AD103" s="4"/>
      <c r="AN103" s="5"/>
      <c r="AY103" s="38"/>
      <c r="AZ103" s="38"/>
      <c r="BE103" s="7"/>
      <c r="BF103" s="7"/>
      <c r="BG103" s="91"/>
      <c r="BH103" s="18"/>
      <c r="BI103" s="4"/>
      <c r="BJ103" s="4"/>
      <c r="BK103" s="7"/>
      <c r="BL103" s="7"/>
      <c r="BM103" s="7"/>
      <c r="BN103" s="7"/>
      <c r="BO103" s="7"/>
      <c r="BP103" s="4"/>
    </row>
    <row r="104" spans="1:69" ht="11.25" customHeight="1" x14ac:dyDescent="0.25">
      <c r="A104" s="25" t="s">
        <v>16</v>
      </c>
      <c r="H104" s="136" t="str">
        <f t="shared" si="22"/>
        <v>Ječmen tržni</v>
      </c>
      <c r="I104" s="152" t="str">
        <f>+I$66</f>
        <v xml:space="preserve">                 sredstva za varstvo</v>
      </c>
      <c r="J104" s="165" t="str">
        <f>+J$66</f>
        <v>EUR/ha</v>
      </c>
      <c r="K104" s="171">
        <v>127.83915</v>
      </c>
      <c r="L104" s="171">
        <v>121.66723200000001</v>
      </c>
      <c r="M104" s="172">
        <f t="shared" si="23"/>
        <v>95.172122155067527</v>
      </c>
      <c r="N104" s="8"/>
      <c r="O104" s="171">
        <v>121.66723200000001</v>
      </c>
      <c r="P104" s="171">
        <v>121.66723200000001</v>
      </c>
      <c r="Q104" s="171">
        <v>121.66723200000001</v>
      </c>
      <c r="R104" s="171">
        <v>121.66723200000001</v>
      </c>
      <c r="S104" s="171">
        <v>121.66723200000001</v>
      </c>
      <c r="T104" s="171">
        <v>121.66723200000001</v>
      </c>
      <c r="W104" s="156">
        <f t="shared" si="25"/>
        <v>100</v>
      </c>
      <c r="X104" s="171">
        <f t="shared" si="25"/>
        <v>100</v>
      </c>
      <c r="Y104" s="171">
        <f t="shared" si="25"/>
        <v>100</v>
      </c>
      <c r="Z104" s="171">
        <f t="shared" si="25"/>
        <v>100</v>
      </c>
      <c r="AA104" s="171">
        <f t="shared" si="25"/>
        <v>100</v>
      </c>
      <c r="AB104" s="156">
        <f t="shared" si="25"/>
        <v>100</v>
      </c>
      <c r="AC104" s="4"/>
      <c r="AD104" s="4"/>
      <c r="AN104" s="5"/>
      <c r="AY104" s="38"/>
      <c r="AZ104" s="38"/>
      <c r="BE104" s="7"/>
      <c r="BF104" s="7"/>
      <c r="BG104" s="91"/>
      <c r="BH104" s="18"/>
      <c r="BI104" s="4"/>
      <c r="BJ104" s="4"/>
      <c r="BK104" s="7"/>
      <c r="BL104" s="7"/>
      <c r="BM104" s="7"/>
      <c r="BN104" s="7"/>
      <c r="BO104" s="7"/>
      <c r="BP104" s="4"/>
    </row>
    <row r="105" spans="1:69" ht="11.25" customHeight="1" x14ac:dyDescent="0.25">
      <c r="A105" s="25" t="s">
        <v>15</v>
      </c>
      <c r="B105" s="25" t="s">
        <v>14</v>
      </c>
      <c r="C105" s="25" t="s">
        <v>13</v>
      </c>
      <c r="H105" s="136" t="str">
        <f t="shared" si="22"/>
        <v>Ječmen tržni</v>
      </c>
      <c r="I105" s="152" t="str">
        <f>+I$67</f>
        <v xml:space="preserve">                 najete storitve</v>
      </c>
      <c r="J105" s="165" t="str">
        <f>+J$67</f>
        <v>EUR/ha</v>
      </c>
      <c r="K105" s="171">
        <v>351.78183066583705</v>
      </c>
      <c r="L105" s="171">
        <v>359.22222329359181</v>
      </c>
      <c r="M105" s="172">
        <f t="shared" si="23"/>
        <v>102.11505881746987</v>
      </c>
      <c r="N105" s="8"/>
      <c r="O105" s="171">
        <v>393.92924696452701</v>
      </c>
      <c r="P105" s="171">
        <v>376.57573512905947</v>
      </c>
      <c r="Q105" s="171">
        <v>359.22222329359181</v>
      </c>
      <c r="R105" s="171">
        <v>341.86871145812427</v>
      </c>
      <c r="S105" s="171">
        <v>324.51519962265661</v>
      </c>
      <c r="T105" s="171">
        <v>320.88863019014354</v>
      </c>
      <c r="W105" s="156">
        <f t="shared" si="25"/>
        <v>109.66171395319526</v>
      </c>
      <c r="X105" s="171">
        <f t="shared" si="25"/>
        <v>104.83085697659764</v>
      </c>
      <c r="Y105" s="171">
        <f t="shared" si="25"/>
        <v>100</v>
      </c>
      <c r="Z105" s="171">
        <f t="shared" si="25"/>
        <v>95.169143023402384</v>
      </c>
      <c r="AA105" s="171">
        <f t="shared" si="25"/>
        <v>90.33828604680474</v>
      </c>
      <c r="AB105" s="156">
        <f t="shared" si="25"/>
        <v>89.328724500399787</v>
      </c>
      <c r="AC105" s="4"/>
      <c r="AD105" s="4"/>
      <c r="AN105" s="5"/>
      <c r="AY105" s="38"/>
      <c r="AZ105" s="38"/>
      <c r="BE105" s="7"/>
      <c r="BF105" s="7"/>
      <c r="BG105" s="91"/>
      <c r="BH105" s="18"/>
      <c r="BI105" s="4"/>
      <c r="BJ105" s="4"/>
      <c r="BK105" s="7"/>
      <c r="BL105" s="7"/>
      <c r="BM105" s="7"/>
      <c r="BN105" s="7"/>
      <c r="BO105" s="7"/>
      <c r="BP105" s="4"/>
    </row>
    <row r="106" spans="1:69" ht="11.25" customHeight="1" x14ac:dyDescent="0.25">
      <c r="A106" s="25" t="s">
        <v>12</v>
      </c>
      <c r="H106" s="136" t="str">
        <f t="shared" si="22"/>
        <v>Ječmen tržni</v>
      </c>
      <c r="I106" s="152" t="str">
        <f>+I$68</f>
        <v xml:space="preserve">                 zavarovanje</v>
      </c>
      <c r="J106" s="165" t="str">
        <f>+J$68</f>
        <v>EUR/ha</v>
      </c>
      <c r="K106" s="171">
        <v>19.173000000000005</v>
      </c>
      <c r="L106" s="171">
        <v>17.255700000000001</v>
      </c>
      <c r="M106" s="172">
        <f t="shared" si="23"/>
        <v>89.999999999999986</v>
      </c>
      <c r="N106" s="8"/>
      <c r="O106" s="171">
        <v>18.824400000000001</v>
      </c>
      <c r="P106" s="171">
        <v>18.824400000000001</v>
      </c>
      <c r="Q106" s="171">
        <v>17.255700000000001</v>
      </c>
      <c r="R106" s="171">
        <v>15.687000000000001</v>
      </c>
      <c r="S106" s="171">
        <v>14.118300000000001</v>
      </c>
      <c r="T106" s="171">
        <v>17.255700000000001</v>
      </c>
      <c r="W106" s="156">
        <f t="shared" si="25"/>
        <v>109.09090909090908</v>
      </c>
      <c r="X106" s="171">
        <f t="shared" si="25"/>
        <v>109.09090909090908</v>
      </c>
      <c r="Y106" s="171">
        <f t="shared" si="25"/>
        <v>100</v>
      </c>
      <c r="Z106" s="171">
        <f t="shared" si="25"/>
        <v>90.909090909090907</v>
      </c>
      <c r="AA106" s="171">
        <f t="shared" si="25"/>
        <v>81.818181818181827</v>
      </c>
      <c r="AB106" s="156">
        <f t="shared" si="25"/>
        <v>100</v>
      </c>
      <c r="AC106" s="4"/>
      <c r="AD106" s="4"/>
      <c r="AN106" s="5"/>
      <c r="AY106" s="38"/>
      <c r="AZ106" s="38"/>
      <c r="BE106" s="7"/>
      <c r="BF106" s="7"/>
      <c r="BG106" s="91"/>
      <c r="BH106" s="18"/>
      <c r="BI106" s="4"/>
      <c r="BJ106" s="4"/>
      <c r="BK106" s="7"/>
      <c r="BL106" s="7"/>
      <c r="BM106" s="7"/>
      <c r="BN106" s="7"/>
      <c r="BO106" s="7"/>
      <c r="BP106" s="4"/>
    </row>
    <row r="107" spans="1:69" ht="11.25" customHeight="1" x14ac:dyDescent="0.25">
      <c r="A107" s="25" t="s">
        <v>11</v>
      </c>
      <c r="H107" s="136" t="str">
        <f t="shared" si="22"/>
        <v>Ječmen tržni</v>
      </c>
      <c r="I107" s="152" t="str">
        <f>+I$69</f>
        <v xml:space="preserve">                 domače strojne storitve</v>
      </c>
      <c r="J107" s="165" t="str">
        <f>+J$69</f>
        <v>EUR/ha</v>
      </c>
      <c r="K107" s="171">
        <v>287.31204293155884</v>
      </c>
      <c r="L107" s="171">
        <v>320.79425519694092</v>
      </c>
      <c r="M107" s="172">
        <f t="shared" si="23"/>
        <v>111.6536055794076</v>
      </c>
      <c r="N107" s="8"/>
      <c r="O107" s="171">
        <v>356.80107737350835</v>
      </c>
      <c r="P107" s="171">
        <v>338.69890126206803</v>
      </c>
      <c r="Q107" s="171">
        <v>320.79425519694092</v>
      </c>
      <c r="R107" s="171">
        <v>317.06611486222113</v>
      </c>
      <c r="S107" s="171">
        <v>292.83676761836102</v>
      </c>
      <c r="T107" s="171">
        <v>256.68858536745091</v>
      </c>
      <c r="W107" s="156">
        <f t="shared" si="25"/>
        <v>111.2242727521608</v>
      </c>
      <c r="X107" s="171">
        <f t="shared" si="25"/>
        <v>105.58134872276162</v>
      </c>
      <c r="Y107" s="171">
        <f t="shared" si="25"/>
        <v>100</v>
      </c>
      <c r="Z107" s="171">
        <f t="shared" si="25"/>
        <v>98.837840680023703</v>
      </c>
      <c r="AA107" s="171">
        <f t="shared" si="25"/>
        <v>91.284916383114052</v>
      </c>
      <c r="AB107" s="156">
        <f t="shared" si="25"/>
        <v>80.016577980757646</v>
      </c>
      <c r="AC107" s="4"/>
      <c r="AD107" s="4"/>
      <c r="AN107" s="5"/>
      <c r="AY107" s="38"/>
      <c r="AZ107" s="38"/>
      <c r="BE107" s="7"/>
      <c r="BF107" s="7"/>
      <c r="BG107" s="91"/>
      <c r="BH107" s="18"/>
      <c r="BI107" s="4"/>
      <c r="BJ107" s="4"/>
      <c r="BK107" s="7"/>
      <c r="BL107" s="7"/>
      <c r="BM107" s="7"/>
      <c r="BN107" s="7"/>
      <c r="BO107" s="7"/>
      <c r="BP107" s="4"/>
    </row>
    <row r="108" spans="1:69" ht="11.25" customHeight="1" x14ac:dyDescent="0.25">
      <c r="A108" s="25" t="s">
        <v>10</v>
      </c>
      <c r="H108" s="136" t="str">
        <f t="shared" si="22"/>
        <v>Ječmen tržni</v>
      </c>
      <c r="I108" s="152" t="str">
        <f>+I$70</f>
        <v>Amortizacija</v>
      </c>
      <c r="J108" s="165" t="str">
        <f>+J$70</f>
        <v>EUR/ha</v>
      </c>
      <c r="K108" s="171">
        <v>0</v>
      </c>
      <c r="L108" s="171">
        <v>0</v>
      </c>
      <c r="M108" s="172"/>
      <c r="N108" s="8"/>
      <c r="O108" s="171">
        <v>0</v>
      </c>
      <c r="P108" s="171">
        <v>0</v>
      </c>
      <c r="Q108" s="171">
        <v>0</v>
      </c>
      <c r="R108" s="171">
        <v>0</v>
      </c>
      <c r="S108" s="171">
        <v>0</v>
      </c>
      <c r="T108" s="171">
        <v>0</v>
      </c>
      <c r="W108" s="156"/>
      <c r="X108" s="171"/>
      <c r="Y108" s="171"/>
      <c r="Z108" s="171"/>
      <c r="AA108" s="171"/>
      <c r="AB108" s="156"/>
      <c r="AC108" s="4"/>
      <c r="AD108" s="4"/>
      <c r="AN108" s="5"/>
      <c r="AY108" s="38"/>
      <c r="AZ108" s="38"/>
      <c r="BE108" s="7"/>
      <c r="BF108" s="7"/>
      <c r="BG108" s="91"/>
      <c r="BH108" s="18"/>
      <c r="BI108" s="4"/>
      <c r="BJ108" s="4"/>
      <c r="BK108" s="7"/>
      <c r="BL108" s="7"/>
      <c r="BM108" s="7"/>
      <c r="BN108" s="7"/>
      <c r="BO108" s="7"/>
      <c r="BP108" s="4"/>
    </row>
    <row r="109" spans="1:69" s="9" customFormat="1" ht="11.25" customHeight="1" x14ac:dyDescent="0.2">
      <c r="A109" s="25" t="s">
        <v>7</v>
      </c>
      <c r="B109" s="25" t="s">
        <v>9</v>
      </c>
      <c r="C109" s="25" t="s">
        <v>8</v>
      </c>
      <c r="D109" s="25"/>
      <c r="F109" s="5"/>
      <c r="G109" s="5"/>
      <c r="H109" s="136" t="str">
        <f t="shared" si="22"/>
        <v>Ječmen tržni</v>
      </c>
      <c r="I109" s="151" t="str">
        <f>+I$71</f>
        <v>Stroški domačega dela in kapitala</v>
      </c>
      <c r="J109" s="168" t="str">
        <f>+J$71</f>
        <v>EUR/ha</v>
      </c>
      <c r="K109" s="169">
        <v>307.4596583900709</v>
      </c>
      <c r="L109" s="169">
        <v>319.08530858008095</v>
      </c>
      <c r="M109" s="170">
        <f t="shared" ref="M109:M118" si="26">L109/K109*100</f>
        <v>103.78119531221905</v>
      </c>
      <c r="N109" s="8"/>
      <c r="O109" s="169">
        <v>354.54136531331199</v>
      </c>
      <c r="P109" s="169">
        <v>336.76626793785044</v>
      </c>
      <c r="Q109" s="169">
        <v>319.08530858008095</v>
      </c>
      <c r="R109" s="169">
        <v>310.63475606319787</v>
      </c>
      <c r="S109" s="169">
        <v>291.01912682087266</v>
      </c>
      <c r="T109" s="169">
        <v>240.15222644785442</v>
      </c>
      <c r="U109" s="1"/>
      <c r="W109" s="155">
        <f t="shared" si="25"/>
        <v>111.11177975915261</v>
      </c>
      <c r="X109" s="169">
        <f t="shared" si="25"/>
        <v>105.54113864923747</v>
      </c>
      <c r="Y109" s="169">
        <f t="shared" si="25"/>
        <v>100</v>
      </c>
      <c r="Z109" s="169">
        <f t="shared" si="25"/>
        <v>97.351632215695631</v>
      </c>
      <c r="AA109" s="169">
        <f t="shared" si="25"/>
        <v>91.204176123275033</v>
      </c>
      <c r="AB109" s="155">
        <f t="shared" si="25"/>
        <v>75.262702478068917</v>
      </c>
      <c r="AC109" s="8"/>
      <c r="AD109" s="8"/>
      <c r="AM109" s="1"/>
      <c r="AN109" s="5"/>
      <c r="AO109" s="1"/>
      <c r="AP109" s="1"/>
      <c r="AY109" s="38"/>
      <c r="AZ109" s="38"/>
      <c r="BB109" s="5"/>
      <c r="BE109" s="6"/>
      <c r="BF109" s="6"/>
      <c r="BG109" s="91"/>
      <c r="BH109" s="18"/>
      <c r="BI109" s="8"/>
      <c r="BJ109" s="8"/>
      <c r="BK109" s="6"/>
      <c r="BL109" s="6"/>
      <c r="BM109" s="6"/>
      <c r="BN109" s="6"/>
      <c r="BO109" s="6"/>
      <c r="BP109" s="8"/>
      <c r="BQ109" s="5"/>
    </row>
    <row r="110" spans="1:69" ht="11.25" customHeight="1" x14ac:dyDescent="0.25">
      <c r="A110" s="25" t="s">
        <v>7</v>
      </c>
      <c r="H110" s="136" t="str">
        <f t="shared" si="22"/>
        <v>Ječmen tržni</v>
      </c>
      <c r="I110" s="152" t="str">
        <f>+I$72</f>
        <v xml:space="preserve">  Od tega: domače delo neto</v>
      </c>
      <c r="J110" s="165" t="str">
        <f>+J$72</f>
        <v>EUR/ha</v>
      </c>
      <c r="K110" s="171">
        <v>128.23146282092858</v>
      </c>
      <c r="L110" s="171">
        <v>134.77220636364999</v>
      </c>
      <c r="M110" s="172">
        <f t="shared" si="26"/>
        <v>105.10073222190046</v>
      </c>
      <c r="N110" s="8"/>
      <c r="O110" s="171">
        <v>154.48017083504985</v>
      </c>
      <c r="P110" s="171">
        <v>144.66514572227675</v>
      </c>
      <c r="Q110" s="171">
        <v>134.77220636364999</v>
      </c>
      <c r="R110" s="171">
        <v>129.97942549854747</v>
      </c>
      <c r="S110" s="171">
        <v>119.34618486332998</v>
      </c>
      <c r="T110" s="171">
        <v>88.664173084076054</v>
      </c>
      <c r="W110" s="156">
        <f t="shared" si="25"/>
        <v>114.62316675162438</v>
      </c>
      <c r="X110" s="171">
        <f t="shared" si="25"/>
        <v>107.34048927857802</v>
      </c>
      <c r="Y110" s="171">
        <f t="shared" si="25"/>
        <v>100</v>
      </c>
      <c r="Z110" s="171">
        <f t="shared" si="25"/>
        <v>96.443791346584945</v>
      </c>
      <c r="AA110" s="171">
        <f t="shared" si="25"/>
        <v>88.554003888089028</v>
      </c>
      <c r="AB110" s="156">
        <f t="shared" si="25"/>
        <v>65.788173597779775</v>
      </c>
      <c r="AC110" s="4"/>
      <c r="AD110" s="4"/>
      <c r="AN110" s="5"/>
      <c r="AY110" s="38"/>
      <c r="AZ110" s="38"/>
      <c r="BE110" s="7"/>
      <c r="BF110" s="7"/>
      <c r="BG110" s="91"/>
      <c r="BH110" s="18"/>
      <c r="BI110" s="4"/>
      <c r="BJ110" s="4"/>
      <c r="BK110" s="7"/>
      <c r="BL110" s="7"/>
      <c r="BM110" s="7"/>
      <c r="BN110" s="7"/>
      <c r="BO110" s="7"/>
      <c r="BP110" s="4"/>
    </row>
    <row r="111" spans="1:69" s="9" customFormat="1" ht="11.25" customHeight="1" x14ac:dyDescent="0.2">
      <c r="A111" s="25" t="s">
        <v>6</v>
      </c>
      <c r="B111" s="25"/>
      <c r="C111" s="25"/>
      <c r="D111" s="25"/>
      <c r="F111" s="5"/>
      <c r="G111" s="5"/>
      <c r="H111" s="136" t="str">
        <f t="shared" si="22"/>
        <v>Ječmen tržni</v>
      </c>
      <c r="I111" s="151" t="str">
        <f>+I$73</f>
        <v>Stroški skupaj</v>
      </c>
      <c r="J111" s="168" t="str">
        <f>+J$73</f>
        <v>EUR/ha</v>
      </c>
      <c r="K111" s="169">
        <v>1483.8976177459435</v>
      </c>
      <c r="L111" s="169">
        <v>1534.0612002348425</v>
      </c>
      <c r="M111" s="170">
        <f t="shared" si="26"/>
        <v>103.38052854111983</v>
      </c>
      <c r="N111" s="8"/>
      <c r="O111" s="169">
        <v>1699.6936334480229</v>
      </c>
      <c r="P111" s="169">
        <v>1617.7104323403587</v>
      </c>
      <c r="Q111" s="169">
        <v>1534.0612002348425</v>
      </c>
      <c r="R111" s="169">
        <v>1474.1383573077462</v>
      </c>
      <c r="S111" s="169">
        <v>1382.1833812780988</v>
      </c>
      <c r="T111" s="169">
        <v>1349.8006237446996</v>
      </c>
      <c r="U111" s="1"/>
      <c r="W111" s="155">
        <f t="shared" si="25"/>
        <v>110.79698992372823</v>
      </c>
      <c r="X111" s="169">
        <f t="shared" si="25"/>
        <v>105.45279628301078</v>
      </c>
      <c r="Y111" s="169">
        <f t="shared" si="25"/>
        <v>100</v>
      </c>
      <c r="Z111" s="169">
        <f t="shared" si="25"/>
        <v>96.093842741220286</v>
      </c>
      <c r="AA111" s="169">
        <f t="shared" si="25"/>
        <v>90.09962451735997</v>
      </c>
      <c r="AB111" s="155">
        <f t="shared" si="25"/>
        <v>87.988707591200708</v>
      </c>
      <c r="AC111" s="8"/>
      <c r="AD111" s="8"/>
      <c r="AE111" s="1"/>
      <c r="AF111" s="1"/>
      <c r="AG111" s="1"/>
      <c r="AH111" s="1"/>
      <c r="AI111" s="1"/>
      <c r="AJ111" s="1"/>
      <c r="AK111" s="1"/>
      <c r="AL111" s="1"/>
      <c r="AM111" s="1"/>
      <c r="AN111" s="5"/>
      <c r="AO111" s="1"/>
      <c r="AP111" s="1"/>
      <c r="AY111" s="38"/>
      <c r="AZ111" s="38"/>
      <c r="BB111" s="5"/>
      <c r="BE111" s="6"/>
      <c r="BF111" s="6"/>
      <c r="BG111" s="91"/>
      <c r="BH111" s="18"/>
      <c r="BI111" s="8"/>
      <c r="BJ111" s="8"/>
      <c r="BK111" s="6"/>
      <c r="BL111" s="6"/>
      <c r="BM111" s="6"/>
      <c r="BN111" s="6"/>
      <c r="BO111" s="6"/>
      <c r="BP111" s="8"/>
      <c r="BQ111" s="5"/>
    </row>
    <row r="112" spans="1:69" ht="11.25" customHeight="1" x14ac:dyDescent="0.25">
      <c r="A112" s="25" t="s">
        <v>5</v>
      </c>
      <c r="H112" s="136" t="str">
        <f t="shared" si="22"/>
        <v>Ječmen tržni</v>
      </c>
      <c r="I112" s="152" t="str">
        <f>+I$74</f>
        <v>Stranski pridelki</v>
      </c>
      <c r="J112" s="165" t="str">
        <f>+J$74</f>
        <v>EUR/ha</v>
      </c>
      <c r="K112" s="171">
        <v>245.90921977920956</v>
      </c>
      <c r="L112" s="171">
        <v>256.11947510171024</v>
      </c>
      <c r="M112" s="172">
        <f t="shared" si="26"/>
        <v>104.15204250237873</v>
      </c>
      <c r="N112" s="8"/>
      <c r="O112" s="171">
        <v>307.59904317767757</v>
      </c>
      <c r="P112" s="171">
        <v>285.71899475628101</v>
      </c>
      <c r="Q112" s="171">
        <v>256.11947510171024</v>
      </c>
      <c r="R112" s="171">
        <v>234.23942668031373</v>
      </c>
      <c r="S112" s="171">
        <v>212.35937825891722</v>
      </c>
      <c r="T112" s="171">
        <v>264.37137156594179</v>
      </c>
      <c r="W112" s="156">
        <f t="shared" si="25"/>
        <v>120.09982569873836</v>
      </c>
      <c r="X112" s="171">
        <f t="shared" si="25"/>
        <v>111.55691875552071</v>
      </c>
      <c r="Y112" s="171">
        <f t="shared" si="25"/>
        <v>100</v>
      </c>
      <c r="Z112" s="171">
        <f t="shared" si="25"/>
        <v>91.457093056782384</v>
      </c>
      <c r="AA112" s="171">
        <f t="shared" si="25"/>
        <v>82.914186113564767</v>
      </c>
      <c r="AB112" s="156">
        <f t="shared" si="25"/>
        <v>103.22189339992774</v>
      </c>
      <c r="AC112" s="4"/>
      <c r="AD112" s="4"/>
      <c r="AE112" s="339" t="s">
        <v>176</v>
      </c>
      <c r="AF112" s="340"/>
      <c r="AG112" s="340"/>
      <c r="AH112" s="340"/>
      <c r="AI112" s="340"/>
      <c r="AJ112" s="340"/>
      <c r="AK112" s="340"/>
      <c r="AL112" s="340"/>
      <c r="AM112" s="340"/>
      <c r="AN112" s="5"/>
      <c r="AY112" s="38"/>
      <c r="AZ112" s="38"/>
      <c r="BE112" s="7"/>
      <c r="BF112" s="7"/>
      <c r="BG112" s="91"/>
      <c r="BH112" s="18"/>
      <c r="BI112" s="4"/>
      <c r="BJ112" s="4"/>
      <c r="BK112" s="7"/>
      <c r="BL112" s="7"/>
      <c r="BM112" s="7"/>
      <c r="BN112" s="7"/>
      <c r="BO112" s="7"/>
      <c r="BP112" s="4"/>
    </row>
    <row r="113" spans="1:69" ht="11.25" customHeight="1" x14ac:dyDescent="0.25">
      <c r="H113" s="136" t="str">
        <f t="shared" si="22"/>
        <v>Ječmen tržni</v>
      </c>
      <c r="I113" s="152" t="str">
        <f>+I$75</f>
        <v>Stroški glavnega pridelka</v>
      </c>
      <c r="J113" s="165" t="str">
        <f>+J$75</f>
        <v>EUR/ha</v>
      </c>
      <c r="K113" s="171">
        <f>+K111-K112</f>
        <v>1237.9883979667341</v>
      </c>
      <c r="L113" s="171">
        <f>+L111-L112</f>
        <v>1277.9417251331324</v>
      </c>
      <c r="M113" s="172">
        <f t="shared" si="26"/>
        <v>103.22727799646729</v>
      </c>
      <c r="N113" s="8"/>
      <c r="O113" s="171">
        <f>+O111-O112</f>
        <v>1392.0945902703452</v>
      </c>
      <c r="P113" s="171">
        <f t="shared" ref="P113:T113" si="27">+P111-P112</f>
        <v>1331.9914375840776</v>
      </c>
      <c r="Q113" s="171">
        <f t="shared" si="27"/>
        <v>1277.9417251331324</v>
      </c>
      <c r="R113" s="171">
        <f t="shared" si="27"/>
        <v>1239.8989306274325</v>
      </c>
      <c r="S113" s="171">
        <f t="shared" si="27"/>
        <v>1169.8240030191814</v>
      </c>
      <c r="T113" s="171">
        <f t="shared" si="27"/>
        <v>1085.4292521787579</v>
      </c>
      <c r="W113" s="156">
        <f t="shared" si="25"/>
        <v>108.93255638282886</v>
      </c>
      <c r="X113" s="171">
        <f t="shared" si="25"/>
        <v>104.22943483164808</v>
      </c>
      <c r="Y113" s="171">
        <f t="shared" si="25"/>
        <v>100</v>
      </c>
      <c r="Z113" s="171">
        <f t="shared" si="25"/>
        <v>97.023119774750541</v>
      </c>
      <c r="AA113" s="171">
        <f t="shared" si="25"/>
        <v>91.539698564683164</v>
      </c>
      <c r="AB113" s="156">
        <f t="shared" si="25"/>
        <v>84.93573930890166</v>
      </c>
      <c r="AC113" s="4"/>
      <c r="AD113" s="4"/>
      <c r="AE113" s="192" t="str">
        <f>AF$10&amp;""&amp;$L$56&amp;", upoštevani stroški zmanjšani za subvencije"</f>
        <v>prva ocena letine 2021, upoštevani stroški zmanjšani za subvencije</v>
      </c>
      <c r="AN113" s="5"/>
      <c r="AY113" s="38"/>
      <c r="AZ113" s="38"/>
      <c r="BE113" s="17"/>
      <c r="BF113" s="17"/>
      <c r="BG113" s="91"/>
      <c r="BH113" s="18"/>
      <c r="BI113" s="4"/>
      <c r="BJ113" s="17"/>
      <c r="BK113" s="17"/>
      <c r="BL113" s="17"/>
      <c r="BM113" s="17"/>
      <c r="BN113" s="17"/>
      <c r="BO113" s="17"/>
      <c r="BP113" s="4"/>
    </row>
    <row r="114" spans="1:69" ht="11.25" customHeight="1" x14ac:dyDescent="0.2">
      <c r="A114" s="25" t="s">
        <v>4</v>
      </c>
      <c r="B114" s="25" t="s">
        <v>3</v>
      </c>
      <c r="C114" s="21" t="s">
        <v>2</v>
      </c>
      <c r="D114" s="21" t="s">
        <v>1</v>
      </c>
      <c r="E114" s="21" t="s">
        <v>0</v>
      </c>
      <c r="H114" s="136" t="str">
        <f t="shared" si="22"/>
        <v>Ječmen tržni</v>
      </c>
      <c r="I114" s="152" t="str">
        <f>+I$76</f>
        <v>Subvencije</v>
      </c>
      <c r="J114" s="165" t="str">
        <f>+J$76</f>
        <v>EUR/ha</v>
      </c>
      <c r="K114" s="171">
        <v>403.24808526525175</v>
      </c>
      <c r="L114" s="171">
        <v>389.66550168747676</v>
      </c>
      <c r="M114" s="172">
        <f t="shared" si="26"/>
        <v>96.631705375900168</v>
      </c>
      <c r="N114" s="8"/>
      <c r="O114" s="171">
        <v>392.84104430523996</v>
      </c>
      <c r="P114" s="171">
        <v>391.33796228080905</v>
      </c>
      <c r="Q114" s="171">
        <v>389.66550168747676</v>
      </c>
      <c r="R114" s="171">
        <v>389.31240044389841</v>
      </c>
      <c r="S114" s="171">
        <v>387.00492137184006</v>
      </c>
      <c r="T114" s="171">
        <v>380.7727222375654</v>
      </c>
      <c r="W114" s="156">
        <f t="shared" si="25"/>
        <v>100.81494066167296</v>
      </c>
      <c r="X114" s="171">
        <f t="shared" si="25"/>
        <v>100.42920417283274</v>
      </c>
      <c r="Y114" s="171">
        <f t="shared" si="25"/>
        <v>100</v>
      </c>
      <c r="Z114" s="171">
        <f t="shared" si="25"/>
        <v>99.909383498911438</v>
      </c>
      <c r="AA114" s="171">
        <f t="shared" si="25"/>
        <v>99.31721430198084</v>
      </c>
      <c r="AB114" s="156">
        <f t="shared" si="25"/>
        <v>97.717842762215156</v>
      </c>
      <c r="AC114" s="4"/>
      <c r="AD114" s="4"/>
      <c r="AN114" s="5"/>
      <c r="AY114" s="38"/>
      <c r="AZ114" s="38"/>
      <c r="BE114" s="90"/>
      <c r="BF114" s="90"/>
      <c r="BG114" s="91"/>
      <c r="BH114" s="18"/>
      <c r="BI114" s="8"/>
      <c r="BJ114" s="8"/>
      <c r="BK114" s="90"/>
      <c r="BL114" s="90"/>
      <c r="BM114" s="90"/>
      <c r="BN114" s="90"/>
      <c r="BO114" s="6"/>
      <c r="BP114" s="4"/>
    </row>
    <row r="115" spans="1:69" ht="11.25" customHeight="1" x14ac:dyDescent="0.25">
      <c r="H115" s="136" t="str">
        <f t="shared" si="22"/>
        <v>Ječmen tržni</v>
      </c>
      <c r="I115" s="151" t="str">
        <f>+I$77</f>
        <v>Stroški, zmanjšani za subvencije</v>
      </c>
      <c r="J115" s="168" t="str">
        <f>+J$77</f>
        <v>EUR/ha</v>
      </c>
      <c r="K115" s="169">
        <f>+K113-K114</f>
        <v>834.74031270148225</v>
      </c>
      <c r="L115" s="169">
        <f>+L113-L114</f>
        <v>888.27622344565566</v>
      </c>
      <c r="M115" s="170">
        <f t="shared" si="26"/>
        <v>106.41348092689023</v>
      </c>
      <c r="N115" s="8"/>
      <c r="O115" s="169">
        <f>+O113-O114</f>
        <v>999.25354596510522</v>
      </c>
      <c r="P115" s="169">
        <f t="shared" ref="P115:T115" si="28">+P113-P114</f>
        <v>940.65347530326858</v>
      </c>
      <c r="Q115" s="169">
        <f t="shared" si="28"/>
        <v>888.27622344565566</v>
      </c>
      <c r="R115" s="169">
        <f t="shared" si="28"/>
        <v>850.58653018353402</v>
      </c>
      <c r="S115" s="169">
        <f t="shared" si="28"/>
        <v>782.81908164734136</v>
      </c>
      <c r="T115" s="169">
        <f t="shared" si="28"/>
        <v>704.6565299411925</v>
      </c>
      <c r="U115" s="9"/>
      <c r="V115" s="9"/>
      <c r="W115" s="155">
        <f t="shared" si="25"/>
        <v>112.49355995243961</v>
      </c>
      <c r="X115" s="169">
        <f t="shared" si="25"/>
        <v>105.89650499193142</v>
      </c>
      <c r="Y115" s="169">
        <f t="shared" si="25"/>
        <v>100</v>
      </c>
      <c r="Z115" s="169">
        <f t="shared" si="25"/>
        <v>95.756985015773367</v>
      </c>
      <c r="AA115" s="169">
        <f t="shared" si="25"/>
        <v>88.12788871132426</v>
      </c>
      <c r="AB115" s="155">
        <f t="shared" si="25"/>
        <v>79.328536703121955</v>
      </c>
      <c r="AC115" s="4"/>
      <c r="AD115" s="4"/>
      <c r="AN115" s="5"/>
      <c r="AY115" s="38"/>
      <c r="AZ115" s="38"/>
      <c r="BE115" s="8"/>
      <c r="BF115" s="8"/>
      <c r="BG115" s="91"/>
      <c r="BH115" s="18"/>
      <c r="BI115" s="8"/>
      <c r="BJ115" s="8"/>
      <c r="BK115" s="8"/>
      <c r="BL115" s="8"/>
      <c r="BM115" s="8"/>
      <c r="BN115" s="8"/>
      <c r="BO115" s="8"/>
      <c r="BP115" s="4"/>
    </row>
    <row r="116" spans="1:69" s="16" customFormat="1" ht="11.25" customHeight="1" x14ac:dyDescent="0.2">
      <c r="A116" s="25"/>
      <c r="B116" s="25"/>
      <c r="C116" s="25"/>
      <c r="D116" s="25"/>
      <c r="F116" s="5"/>
      <c r="G116" s="5"/>
      <c r="H116" s="136" t="str">
        <f t="shared" si="22"/>
        <v>Ječmen tržni</v>
      </c>
      <c r="I116" s="153" t="str">
        <f>+I$78</f>
        <v>Stroški, zmanjšani za subvencije/kg</v>
      </c>
      <c r="J116" s="173" t="str">
        <f>+J$78</f>
        <v>EUR/kg</v>
      </c>
      <c r="K116" s="174">
        <f>+K115/K96</f>
        <v>0.15177096594572403</v>
      </c>
      <c r="L116" s="174">
        <f>+L115/L96</f>
        <v>0.16150476789921012</v>
      </c>
      <c r="M116" s="170">
        <f t="shared" si="26"/>
        <v>106.41348092689023</v>
      </c>
      <c r="N116" s="14"/>
      <c r="O116" s="174">
        <f>+O115/O96</f>
        <v>0.15373131476386234</v>
      </c>
      <c r="P116" s="174">
        <f t="shared" ref="P116:T116" si="29">+P115/P96</f>
        <v>0.15677557921721144</v>
      </c>
      <c r="Q116" s="174">
        <f t="shared" si="29"/>
        <v>0.16150476789921012</v>
      </c>
      <c r="R116" s="174">
        <f t="shared" si="29"/>
        <v>0.1701173060367068</v>
      </c>
      <c r="S116" s="174">
        <f t="shared" si="29"/>
        <v>0.17395979592163141</v>
      </c>
      <c r="T116" s="174">
        <f t="shared" si="29"/>
        <v>0.12811936908021682</v>
      </c>
      <c r="W116" s="157">
        <f t="shared" si="25"/>
        <v>95.186858421295071</v>
      </c>
      <c r="X116" s="183">
        <f t="shared" si="25"/>
        <v>97.071796242603796</v>
      </c>
      <c r="Y116" s="183">
        <f t="shared" si="25"/>
        <v>100</v>
      </c>
      <c r="Z116" s="183">
        <f t="shared" si="25"/>
        <v>105.3326835173507</v>
      </c>
      <c r="AA116" s="183">
        <f t="shared" si="25"/>
        <v>107.71186398050743</v>
      </c>
      <c r="AB116" s="157">
        <f t="shared" si="25"/>
        <v>79.328536703121955</v>
      </c>
      <c r="AC116" s="4"/>
      <c r="AD116" s="73"/>
      <c r="AE116" s="1"/>
      <c r="AF116" s="1"/>
      <c r="AG116" s="1"/>
      <c r="AH116" s="1"/>
      <c r="AI116" s="1"/>
      <c r="AJ116" s="1"/>
      <c r="AK116" s="1"/>
      <c r="AL116" s="1"/>
      <c r="AM116" s="1"/>
      <c r="AN116" s="5"/>
      <c r="AO116" s="1"/>
      <c r="AP116" s="1"/>
      <c r="AY116" s="38"/>
      <c r="AZ116" s="38"/>
      <c r="BB116" s="5"/>
      <c r="BE116" s="15"/>
      <c r="BF116" s="15"/>
      <c r="BG116" s="91"/>
      <c r="BH116" s="18"/>
      <c r="BI116" s="8"/>
      <c r="BJ116" s="15"/>
      <c r="BK116" s="15"/>
      <c r="BL116" s="15"/>
      <c r="BM116" s="15"/>
      <c r="BN116" s="15"/>
      <c r="BO116" s="15"/>
      <c r="BP116" s="32"/>
      <c r="BQ116" s="5"/>
    </row>
    <row r="117" spans="1:69" s="16" customFormat="1" ht="11.25" customHeight="1" x14ac:dyDescent="0.2">
      <c r="A117" s="25" t="s">
        <v>30</v>
      </c>
      <c r="B117" s="25"/>
      <c r="C117" s="25"/>
      <c r="D117" s="25"/>
      <c r="F117" s="5"/>
      <c r="G117" s="5"/>
      <c r="H117" s="136" t="str">
        <f t="shared" si="22"/>
        <v>Ječmen tržni</v>
      </c>
      <c r="I117" s="16" t="str">
        <f>+I$79</f>
        <v>Prodajna cena</v>
      </c>
      <c r="J117" s="175" t="str">
        <f>+J$79</f>
        <v>EUR/kg</v>
      </c>
      <c r="K117" s="221">
        <v>0.125</v>
      </c>
      <c r="L117" s="221">
        <v>0.16500000000000001</v>
      </c>
      <c r="M117" s="164">
        <f t="shared" si="26"/>
        <v>132</v>
      </c>
      <c r="N117" s="14"/>
      <c r="O117" s="221">
        <v>0.16500000000000001</v>
      </c>
      <c r="P117" s="221">
        <v>0.16500000000000001</v>
      </c>
      <c r="Q117" s="221">
        <v>0.16500000000000001</v>
      </c>
      <c r="R117" s="221">
        <v>0.16500000000000001</v>
      </c>
      <c r="S117" s="221">
        <v>0.16500000000000001</v>
      </c>
      <c r="T117" s="221">
        <v>0.16500000000000001</v>
      </c>
      <c r="W117" s="73">
        <f t="shared" si="25"/>
        <v>100</v>
      </c>
      <c r="X117" s="184">
        <f t="shared" si="25"/>
        <v>100</v>
      </c>
      <c r="Y117" s="184">
        <f t="shared" si="25"/>
        <v>100</v>
      </c>
      <c r="Z117" s="184">
        <f t="shared" si="25"/>
        <v>100</v>
      </c>
      <c r="AA117" s="184">
        <f t="shared" si="25"/>
        <v>100</v>
      </c>
      <c r="AB117" s="73">
        <f t="shared" si="25"/>
        <v>100</v>
      </c>
      <c r="AC117" s="4"/>
      <c r="AD117" s="73"/>
      <c r="AE117" s="1"/>
      <c r="AF117" s="1"/>
      <c r="AG117" s="1"/>
      <c r="AH117" s="1"/>
      <c r="AI117" s="1"/>
      <c r="AJ117" s="1"/>
      <c r="AK117" s="1"/>
      <c r="AL117" s="1"/>
      <c r="AM117" s="1"/>
      <c r="AN117" s="5"/>
      <c r="AO117" s="1"/>
      <c r="AP117" s="1"/>
      <c r="AY117" s="38"/>
      <c r="AZ117" s="38"/>
      <c r="BB117" s="5"/>
      <c r="BE117" s="74"/>
      <c r="BF117" s="74"/>
      <c r="BG117" s="91"/>
      <c r="BH117" s="18"/>
      <c r="BI117" s="14"/>
      <c r="BJ117" s="15"/>
      <c r="BK117" s="74"/>
      <c r="BL117" s="74"/>
      <c r="BM117" s="74"/>
      <c r="BN117" s="74"/>
      <c r="BO117" s="74"/>
      <c r="BP117" s="32"/>
      <c r="BQ117" s="5"/>
    </row>
    <row r="118" spans="1:69" s="9" customFormat="1" ht="11.25" customHeight="1" x14ac:dyDescent="0.2">
      <c r="A118" s="25"/>
      <c r="B118" s="25"/>
      <c r="C118" s="25"/>
      <c r="D118" s="25"/>
      <c r="F118" s="5"/>
      <c r="G118" s="5"/>
      <c r="H118" s="136" t="str">
        <f t="shared" si="22"/>
        <v>Ječmen tržni</v>
      </c>
      <c r="I118" s="9" t="str">
        <f>+I$80</f>
        <v>Vrednost proizvodnje skupaj</v>
      </c>
      <c r="J118" s="159" t="str">
        <f>+J$80</f>
        <v>EUR/ha</v>
      </c>
      <c r="K118" s="163">
        <f>+K117*K96+K112+K114</f>
        <v>1336.6573050444613</v>
      </c>
      <c r="L118" s="163">
        <f>+L117*L96+L112+L114</f>
        <v>1553.2849767891869</v>
      </c>
      <c r="M118" s="164">
        <f t="shared" si="26"/>
        <v>116.20667249018774</v>
      </c>
      <c r="N118" s="8"/>
      <c r="O118" s="163">
        <f>+O117*O96+O112+O114</f>
        <v>1772.9400874829175</v>
      </c>
      <c r="P118" s="163">
        <f t="shared" ref="P118:T118" si="30">+P117*P96+P112+P114</f>
        <v>1667.0569570370901</v>
      </c>
      <c r="Q118" s="163">
        <f t="shared" si="30"/>
        <v>1553.2849767891869</v>
      </c>
      <c r="R118" s="163">
        <f t="shared" si="30"/>
        <v>1448.5518271242122</v>
      </c>
      <c r="S118" s="163">
        <f t="shared" si="30"/>
        <v>1341.8642996307572</v>
      </c>
      <c r="T118" s="163">
        <f t="shared" si="30"/>
        <v>1552.6440938035073</v>
      </c>
      <c r="U118" s="1"/>
      <c r="W118" s="8">
        <f t="shared" si="25"/>
        <v>114.14132718567731</v>
      </c>
      <c r="X118" s="163">
        <f t="shared" si="25"/>
        <v>107.32460443176903</v>
      </c>
      <c r="Y118" s="163">
        <f t="shared" si="25"/>
        <v>100</v>
      </c>
      <c r="Z118" s="163">
        <f t="shared" si="25"/>
        <v>93.257312648354471</v>
      </c>
      <c r="AA118" s="163">
        <f t="shared" si="25"/>
        <v>86.388803064621158</v>
      </c>
      <c r="AB118" s="8">
        <f t="shared" si="25"/>
        <v>99.958740154237219</v>
      </c>
      <c r="AC118" s="8"/>
      <c r="AD118" s="8"/>
      <c r="AE118" s="1"/>
      <c r="AF118" s="1"/>
      <c r="AG118" s="1"/>
      <c r="AH118" s="1"/>
      <c r="AI118" s="1"/>
      <c r="AJ118" s="1"/>
      <c r="AK118" s="1"/>
      <c r="AL118" s="1"/>
      <c r="AM118" s="1"/>
      <c r="AN118" s="5"/>
      <c r="AO118" s="1"/>
      <c r="AP118" s="1"/>
      <c r="AY118" s="38"/>
      <c r="AZ118" s="38"/>
      <c r="BB118" s="5"/>
      <c r="BE118" s="8"/>
      <c r="BF118" s="8"/>
      <c r="BG118" s="91"/>
      <c r="BH118" s="18"/>
      <c r="BI118" s="8"/>
      <c r="BJ118" s="8"/>
      <c r="BK118" s="8"/>
      <c r="BL118" s="8"/>
      <c r="BM118" s="8"/>
      <c r="BN118" s="8"/>
      <c r="BO118" s="8"/>
      <c r="BP118" s="8"/>
      <c r="BQ118" s="5"/>
    </row>
    <row r="119" spans="1:69" ht="11.25" customHeight="1" x14ac:dyDescent="0.25">
      <c r="H119" s="136" t="str">
        <f t="shared" si="22"/>
        <v>Ječmen tržni</v>
      </c>
      <c r="I119" s="1" t="str">
        <f>+I$81</f>
        <v xml:space="preserve">  Od tega interna realizacija</v>
      </c>
      <c r="J119" s="162" t="str">
        <f>+J$81</f>
        <v>EUR/ha</v>
      </c>
      <c r="K119" s="177">
        <f>+K118-K121</f>
        <v>0</v>
      </c>
      <c r="L119" s="177">
        <f>+L118-L121</f>
        <v>0</v>
      </c>
      <c r="M119" s="164"/>
      <c r="N119" s="8"/>
      <c r="O119" s="177">
        <f>+O118-O121</f>
        <v>0</v>
      </c>
      <c r="P119" s="177">
        <f t="shared" ref="P119:T119" si="31">+P118-P121</f>
        <v>0</v>
      </c>
      <c r="Q119" s="177">
        <f t="shared" si="31"/>
        <v>0</v>
      </c>
      <c r="R119" s="177">
        <f t="shared" si="31"/>
        <v>0</v>
      </c>
      <c r="S119" s="177">
        <f t="shared" si="31"/>
        <v>0</v>
      </c>
      <c r="T119" s="177">
        <f t="shared" si="31"/>
        <v>0</v>
      </c>
      <c r="W119" s="4"/>
      <c r="X119" s="177"/>
      <c r="Y119" s="177"/>
      <c r="Z119" s="177"/>
      <c r="AA119" s="177"/>
      <c r="AB119" s="4"/>
      <c r="AC119" s="4"/>
      <c r="AD119" s="4"/>
      <c r="AN119" s="5"/>
      <c r="AY119" s="38"/>
      <c r="AZ119" s="38"/>
      <c r="BE119" s="4"/>
      <c r="BF119" s="4"/>
      <c r="BG119" s="91"/>
      <c r="BH119" s="18"/>
      <c r="BI119" s="8"/>
      <c r="BJ119" s="8"/>
      <c r="BK119" s="4"/>
      <c r="BL119" s="4"/>
      <c r="BM119" s="4"/>
      <c r="BN119" s="4"/>
      <c r="BO119" s="4"/>
      <c r="BP119" s="4"/>
    </row>
    <row r="120" spans="1:69" ht="11.25" customHeight="1" x14ac:dyDescent="0.25">
      <c r="H120" s="136" t="str">
        <f t="shared" si="22"/>
        <v>Ječmen tržni</v>
      </c>
      <c r="I120" s="151" t="str">
        <f>+I$82</f>
        <v>OBRAČUN DOHODKA</v>
      </c>
      <c r="J120" s="165"/>
      <c r="K120" s="171"/>
      <c r="L120" s="171"/>
      <c r="M120" s="170"/>
      <c r="N120" s="8"/>
      <c r="O120" s="171"/>
      <c r="P120" s="171"/>
      <c r="Q120" s="171"/>
      <c r="R120" s="171"/>
      <c r="S120" s="171"/>
      <c r="T120" s="171"/>
      <c r="W120" s="156"/>
      <c r="X120" s="171"/>
      <c r="Y120" s="171"/>
      <c r="Z120" s="171"/>
      <c r="AA120" s="171"/>
      <c r="AB120" s="156"/>
      <c r="AC120" s="4"/>
      <c r="AD120" s="4"/>
      <c r="AN120" s="5"/>
      <c r="AY120" s="38"/>
      <c r="AZ120" s="38"/>
      <c r="BC120" s="9"/>
      <c r="BE120" s="4"/>
      <c r="BF120" s="4"/>
      <c r="BG120" s="91"/>
      <c r="BH120" s="18"/>
      <c r="BI120" s="8"/>
      <c r="BJ120" s="8"/>
      <c r="BK120" s="4"/>
      <c r="BL120" s="4"/>
      <c r="BM120" s="4"/>
      <c r="BN120" s="4"/>
      <c r="BO120" s="4"/>
      <c r="BP120" s="4"/>
    </row>
    <row r="121" spans="1:69" ht="11.25" customHeight="1" x14ac:dyDescent="0.25">
      <c r="A121" s="25" t="s">
        <v>29</v>
      </c>
      <c r="H121" s="136" t="str">
        <f t="shared" si="22"/>
        <v>Ječmen tržni</v>
      </c>
      <c r="I121" s="152" t="str">
        <f>+I$83</f>
        <v>Vrednost finalne proizvodnje skupaj</v>
      </c>
      <c r="J121" s="165" t="str">
        <f>+J$83</f>
        <v>EUR/ha</v>
      </c>
      <c r="K121" s="171">
        <v>1336.6573050444613</v>
      </c>
      <c r="L121" s="171">
        <v>1553.2849767891869</v>
      </c>
      <c r="M121" s="172">
        <f t="shared" ref="M121:M128" si="32">L121/K121*100</f>
        <v>116.20667249018774</v>
      </c>
      <c r="N121" s="8"/>
      <c r="O121" s="171">
        <v>1772.9400874829175</v>
      </c>
      <c r="P121" s="171">
        <v>1667.0569570370901</v>
      </c>
      <c r="Q121" s="171">
        <v>1553.2849767891869</v>
      </c>
      <c r="R121" s="171">
        <v>1448.5518271242122</v>
      </c>
      <c r="S121" s="171">
        <v>1341.8642996307572</v>
      </c>
      <c r="T121" s="171">
        <v>1552.6440938035073</v>
      </c>
      <c r="W121" s="156">
        <f t="shared" si="25"/>
        <v>114.14132718567731</v>
      </c>
      <c r="X121" s="171">
        <f t="shared" si="25"/>
        <v>107.32460443176903</v>
      </c>
      <c r="Y121" s="171">
        <f t="shared" si="25"/>
        <v>100</v>
      </c>
      <c r="Z121" s="171">
        <f t="shared" si="25"/>
        <v>93.257312648354471</v>
      </c>
      <c r="AA121" s="171">
        <f t="shared" si="25"/>
        <v>86.388803064621158</v>
      </c>
      <c r="AB121" s="156">
        <f t="shared" si="25"/>
        <v>99.958740154237219</v>
      </c>
      <c r="AC121" s="4"/>
      <c r="AD121" s="4"/>
      <c r="AN121" s="5"/>
      <c r="AY121" s="38"/>
      <c r="AZ121" s="38"/>
      <c r="BE121" s="41"/>
      <c r="BF121" s="41"/>
      <c r="BG121" s="91"/>
      <c r="BH121" s="18"/>
      <c r="BI121" s="17"/>
      <c r="BJ121" s="4"/>
      <c r="BK121" s="41"/>
      <c r="BL121" s="41"/>
      <c r="BM121" s="41"/>
      <c r="BN121" s="41"/>
      <c r="BO121" s="41"/>
      <c r="BP121" s="4"/>
    </row>
    <row r="122" spans="1:69" ht="11.25" customHeight="1" x14ac:dyDescent="0.25">
      <c r="A122" s="25" t="s">
        <v>28</v>
      </c>
      <c r="H122" s="136" t="str">
        <f t="shared" si="22"/>
        <v>Ječmen tržni</v>
      </c>
      <c r="I122" s="152" t="str">
        <f>+I$84</f>
        <v>Stroški zmanjšani za interno realizacijo</v>
      </c>
      <c r="J122" s="165" t="str">
        <f>+J$84</f>
        <v>EUR/ha</v>
      </c>
      <c r="K122" s="171">
        <v>1483.8976177459431</v>
      </c>
      <c r="L122" s="171">
        <v>1534.0612002348428</v>
      </c>
      <c r="M122" s="172">
        <f t="shared" si="32"/>
        <v>103.3805285411199</v>
      </c>
      <c r="N122" s="8"/>
      <c r="O122" s="171">
        <v>1699.6936334480226</v>
      </c>
      <c r="P122" s="171">
        <v>1617.7104323403587</v>
      </c>
      <c r="Q122" s="171">
        <v>1534.0612002348428</v>
      </c>
      <c r="R122" s="171">
        <v>1474.138357307746</v>
      </c>
      <c r="S122" s="171">
        <v>1382.1833812780988</v>
      </c>
      <c r="T122" s="171">
        <v>1349.8006237446998</v>
      </c>
      <c r="W122" s="156">
        <f t="shared" si="25"/>
        <v>110.79698992372819</v>
      </c>
      <c r="X122" s="171">
        <f t="shared" si="25"/>
        <v>105.45279628301077</v>
      </c>
      <c r="Y122" s="171">
        <f t="shared" si="25"/>
        <v>100</v>
      </c>
      <c r="Z122" s="171">
        <f t="shared" si="25"/>
        <v>96.093842741220271</v>
      </c>
      <c r="AA122" s="171">
        <f t="shared" si="25"/>
        <v>90.099624517359956</v>
      </c>
      <c r="AB122" s="156">
        <f t="shared" si="25"/>
        <v>87.988707591200708</v>
      </c>
      <c r="AC122" s="4"/>
      <c r="AD122" s="4"/>
      <c r="AN122" s="5"/>
      <c r="AY122" s="38"/>
      <c r="AZ122" s="38"/>
      <c r="BE122" s="7"/>
      <c r="BF122" s="7"/>
      <c r="BG122" s="91"/>
      <c r="BH122" s="18"/>
      <c r="BI122" s="17"/>
      <c r="BJ122" s="4"/>
      <c r="BK122" s="7"/>
      <c r="BL122" s="7"/>
      <c r="BM122" s="7"/>
      <c r="BN122" s="7"/>
      <c r="BO122" s="7"/>
      <c r="BP122" s="4"/>
    </row>
    <row r="123" spans="1:69" ht="11.25" customHeight="1" x14ac:dyDescent="0.25">
      <c r="A123" s="25" t="s">
        <v>27</v>
      </c>
      <c r="H123" s="136" t="str">
        <f t="shared" si="22"/>
        <v>Ječmen tržni</v>
      </c>
      <c r="I123" s="152" t="str">
        <f>+I$85</f>
        <v xml:space="preserve">  Stroški kupljenega blaga in storitev</v>
      </c>
      <c r="J123" s="165" t="str">
        <f>+J$85</f>
        <v>EUR/ha</v>
      </c>
      <c r="K123" s="171">
        <v>1032.2158493585027</v>
      </c>
      <c r="L123" s="171">
        <v>1062.5894577698962</v>
      </c>
      <c r="M123" s="172">
        <f t="shared" si="32"/>
        <v>102.94256365374257</v>
      </c>
      <c r="N123" s="8"/>
      <c r="O123" s="171">
        <v>1175.5614515286827</v>
      </c>
      <c r="P123" s="171">
        <v>1120.192829568123</v>
      </c>
      <c r="Q123" s="171">
        <v>1062.5894577698962</v>
      </c>
      <c r="R123" s="171">
        <v>1013.3365711081079</v>
      </c>
      <c r="S123" s="171">
        <v>951.12025952519582</v>
      </c>
      <c r="T123" s="171">
        <v>982.21003916191705</v>
      </c>
      <c r="W123" s="156">
        <f t="shared" si="25"/>
        <v>110.63176308900013</v>
      </c>
      <c r="X123" s="171">
        <f t="shared" si="25"/>
        <v>105.42103738908925</v>
      </c>
      <c r="Y123" s="171">
        <f t="shared" si="25"/>
        <v>100</v>
      </c>
      <c r="Z123" s="171">
        <f t="shared" si="25"/>
        <v>95.364824457683071</v>
      </c>
      <c r="AA123" s="171">
        <f t="shared" si="25"/>
        <v>89.509664581216001</v>
      </c>
      <c r="AB123" s="156">
        <f t="shared" si="25"/>
        <v>92.435515144609568</v>
      </c>
      <c r="AC123" s="4"/>
      <c r="AD123" s="4"/>
      <c r="AN123" s="5"/>
      <c r="AY123" s="38"/>
      <c r="AZ123" s="38"/>
      <c r="BE123" s="7"/>
      <c r="BF123" s="7"/>
      <c r="BG123" s="91"/>
      <c r="BH123" s="18"/>
      <c r="BI123" s="17"/>
      <c r="BJ123" s="4"/>
      <c r="BK123" s="7"/>
      <c r="BL123" s="7"/>
      <c r="BM123" s="7"/>
      <c r="BN123" s="7"/>
      <c r="BO123" s="7"/>
      <c r="BP123" s="4"/>
    </row>
    <row r="124" spans="1:69" ht="11.25" customHeight="1" x14ac:dyDescent="0.25">
      <c r="A124" s="25" t="s">
        <v>26</v>
      </c>
      <c r="H124" s="136" t="str">
        <f t="shared" si="22"/>
        <v>Ječmen tržni</v>
      </c>
      <c r="I124" s="152" t="str">
        <f>+I$86</f>
        <v xml:space="preserve">  Amortizacija</v>
      </c>
      <c r="J124" s="165" t="str">
        <f>+J$86</f>
        <v>EUR/ha</v>
      </c>
      <c r="K124" s="171">
        <v>110.05482138121356</v>
      </c>
      <c r="L124" s="171">
        <v>116.04766054565724</v>
      </c>
      <c r="M124" s="172">
        <f t="shared" si="32"/>
        <v>105.44532178529951</v>
      </c>
      <c r="N124" s="8"/>
      <c r="O124" s="171">
        <v>128.80991850297008</v>
      </c>
      <c r="P124" s="171">
        <v>122.23111342659182</v>
      </c>
      <c r="Q124" s="171">
        <v>116.04766054565724</v>
      </c>
      <c r="R124" s="171">
        <v>114.37820509507341</v>
      </c>
      <c r="S124" s="171">
        <v>106.90031103236834</v>
      </c>
      <c r="T124" s="171">
        <v>103.77163787474981</v>
      </c>
      <c r="W124" s="156">
        <f t="shared" si="25"/>
        <v>110.99742803715695</v>
      </c>
      <c r="X124" s="171">
        <f t="shared" si="25"/>
        <v>105.32837357673557</v>
      </c>
      <c r="Y124" s="171">
        <f t="shared" si="25"/>
        <v>100</v>
      </c>
      <c r="Z124" s="171">
        <f t="shared" si="25"/>
        <v>98.561405337484587</v>
      </c>
      <c r="AA124" s="171">
        <f t="shared" si="25"/>
        <v>92.117592487191928</v>
      </c>
      <c r="AB124" s="156">
        <f t="shared" si="25"/>
        <v>89.421568161576502</v>
      </c>
      <c r="AC124" s="4"/>
      <c r="AD124" s="4"/>
      <c r="AN124" s="5"/>
      <c r="AY124" s="38"/>
      <c r="AZ124" s="38"/>
      <c r="BE124" s="41"/>
      <c r="BF124" s="41"/>
      <c r="BG124" s="91"/>
      <c r="BH124" s="18"/>
      <c r="BI124" s="17"/>
      <c r="BJ124" s="4"/>
      <c r="BK124" s="41"/>
      <c r="BL124" s="41"/>
      <c r="BM124" s="41"/>
      <c r="BN124" s="41"/>
      <c r="BO124" s="41"/>
      <c r="BP124" s="4"/>
    </row>
    <row r="125" spans="1:69" s="9" customFormat="1" ht="11.25" customHeight="1" x14ac:dyDescent="0.2">
      <c r="A125" s="25"/>
      <c r="B125" s="25"/>
      <c r="C125" s="25"/>
      <c r="D125" s="25"/>
      <c r="F125" s="5"/>
      <c r="G125" s="5"/>
      <c r="H125" s="136" t="str">
        <f t="shared" si="22"/>
        <v>Ječmen tržni</v>
      </c>
      <c r="I125" s="151" t="str">
        <f>+I$87</f>
        <v xml:space="preserve">  Stroški domačega dela in kapitala</v>
      </c>
      <c r="J125" s="168" t="str">
        <f>+J$87</f>
        <v>EUR/ha</v>
      </c>
      <c r="K125" s="169">
        <f>+K122-K123-K124</f>
        <v>341.62694700622677</v>
      </c>
      <c r="L125" s="169">
        <f>+L122-L123-L124</f>
        <v>355.42408191928939</v>
      </c>
      <c r="M125" s="170">
        <f t="shared" si="32"/>
        <v>104.03865533265768</v>
      </c>
      <c r="N125" s="8"/>
      <c r="O125" s="169">
        <f>+O122-O123-O124</f>
        <v>395.32226341636988</v>
      </c>
      <c r="P125" s="169">
        <f t="shared" ref="P125:T125" si="33">+P122-P123-P124</f>
        <v>375.28648934564387</v>
      </c>
      <c r="Q125" s="169">
        <f t="shared" si="33"/>
        <v>355.42408191928939</v>
      </c>
      <c r="R125" s="169">
        <f t="shared" si="33"/>
        <v>346.42358110456462</v>
      </c>
      <c r="S125" s="169">
        <f t="shared" si="33"/>
        <v>324.16281072053459</v>
      </c>
      <c r="T125" s="169">
        <f t="shared" si="33"/>
        <v>263.81894670803297</v>
      </c>
      <c r="U125" s="1"/>
      <c r="W125" s="155">
        <f t="shared" si="25"/>
        <v>111.22551440004582</v>
      </c>
      <c r="X125" s="169">
        <f t="shared" si="25"/>
        <v>105.58836849745732</v>
      </c>
      <c r="Y125" s="169">
        <f t="shared" si="25"/>
        <v>100</v>
      </c>
      <c r="Z125" s="169">
        <f t="shared" si="25"/>
        <v>97.467672768226038</v>
      </c>
      <c r="AA125" s="169">
        <f t="shared" si="25"/>
        <v>91.204515172426142</v>
      </c>
      <c r="AB125" s="155">
        <f t="shared" si="25"/>
        <v>74.22652547441669</v>
      </c>
      <c r="AC125" s="8"/>
      <c r="AD125" s="8"/>
      <c r="AE125" s="1"/>
      <c r="AF125" s="1"/>
      <c r="AG125" s="1"/>
      <c r="AH125" s="1"/>
      <c r="AI125" s="1"/>
      <c r="AJ125" s="1"/>
      <c r="AK125" s="1"/>
      <c r="AL125" s="1"/>
      <c r="AM125" s="1"/>
      <c r="AN125" s="5"/>
      <c r="AO125" s="1"/>
      <c r="AP125" s="1"/>
      <c r="AY125" s="38"/>
      <c r="AZ125" s="38"/>
      <c r="BB125" s="5"/>
      <c r="BE125" s="8"/>
      <c r="BF125" s="8"/>
      <c r="BG125" s="91"/>
      <c r="BH125" s="18"/>
      <c r="BI125" s="18"/>
      <c r="BJ125" s="8"/>
      <c r="BK125" s="8"/>
      <c r="BL125" s="8"/>
      <c r="BM125" s="8"/>
      <c r="BN125" s="8"/>
      <c r="BO125" s="8"/>
      <c r="BP125" s="8"/>
      <c r="BQ125" s="5"/>
    </row>
    <row r="126" spans="1:69" ht="11.25" customHeight="1" x14ac:dyDescent="0.25">
      <c r="H126" s="136" t="str">
        <f t="shared" si="22"/>
        <v>Ječmen tržni</v>
      </c>
      <c r="I126" s="152" t="str">
        <f>+I$88</f>
        <v xml:space="preserve">Bruto dodana vrednost </v>
      </c>
      <c r="J126" s="165" t="str">
        <f>+J$88</f>
        <v>EUR/ha</v>
      </c>
      <c r="K126" s="171">
        <f>+K121-K123</f>
        <v>304.44145568595854</v>
      </c>
      <c r="L126" s="171">
        <f>+L121-L123</f>
        <v>490.69551901929071</v>
      </c>
      <c r="M126" s="172">
        <f t="shared" si="32"/>
        <v>161.17894256998278</v>
      </c>
      <c r="N126" s="8"/>
      <c r="O126" s="171">
        <f>+O121-O123</f>
        <v>597.37863595423482</v>
      </c>
      <c r="P126" s="171">
        <f t="shared" ref="P126:T126" si="34">+P121-P123</f>
        <v>546.86412746896713</v>
      </c>
      <c r="Q126" s="171">
        <f t="shared" si="34"/>
        <v>490.69551901929071</v>
      </c>
      <c r="R126" s="171">
        <f t="shared" si="34"/>
        <v>435.21525601610426</v>
      </c>
      <c r="S126" s="171">
        <f t="shared" si="34"/>
        <v>390.74404010556134</v>
      </c>
      <c r="T126" s="171">
        <f t="shared" si="34"/>
        <v>570.43405464159025</v>
      </c>
      <c r="W126" s="156">
        <f t="shared" si="25"/>
        <v>121.74120463707558</v>
      </c>
      <c r="X126" s="171">
        <f t="shared" si="25"/>
        <v>111.44673351856476</v>
      </c>
      <c r="Y126" s="171">
        <f t="shared" si="25"/>
        <v>100</v>
      </c>
      <c r="Z126" s="171">
        <f t="shared" si="25"/>
        <v>88.693546027469367</v>
      </c>
      <c r="AA126" s="171">
        <f t="shared" si="25"/>
        <v>79.630651791258771</v>
      </c>
      <c r="AB126" s="156">
        <f t="shared" si="25"/>
        <v>116.25010470478023</v>
      </c>
      <c r="AC126" s="4"/>
      <c r="AD126" s="4"/>
      <c r="AN126" s="5"/>
      <c r="AY126" s="38"/>
      <c r="AZ126" s="38"/>
      <c r="BE126" s="4"/>
      <c r="BF126" s="4"/>
      <c r="BG126" s="91"/>
      <c r="BH126" s="18"/>
      <c r="BI126" s="17"/>
      <c r="BJ126" s="4"/>
      <c r="BK126" s="4"/>
      <c r="BL126" s="4"/>
      <c r="BM126" s="4"/>
      <c r="BN126" s="4"/>
      <c r="BO126" s="4"/>
      <c r="BP126" s="4"/>
    </row>
    <row r="127" spans="1:69" s="9" customFormat="1" ht="11.25" customHeight="1" x14ac:dyDescent="0.2">
      <c r="A127" s="25"/>
      <c r="B127" s="25"/>
      <c r="C127" s="25"/>
      <c r="D127" s="25"/>
      <c r="F127" s="5"/>
      <c r="G127" s="5"/>
      <c r="H127" s="136" t="str">
        <f t="shared" si="22"/>
        <v>Ječmen tržni</v>
      </c>
      <c r="I127" s="151" t="str">
        <f>+I$89</f>
        <v>Neto dodana vrednost</v>
      </c>
      <c r="J127" s="168" t="str">
        <f>+J$89</f>
        <v>EUR/ha</v>
      </c>
      <c r="K127" s="169">
        <f>+K126-K124</f>
        <v>194.38663430474497</v>
      </c>
      <c r="L127" s="169">
        <f>+L126-L124</f>
        <v>374.64785847363351</v>
      </c>
      <c r="M127" s="170">
        <f t="shared" si="32"/>
        <v>192.73334291404436</v>
      </c>
      <c r="N127" s="8"/>
      <c r="O127" s="169">
        <f>+O126-O124</f>
        <v>468.56871745126477</v>
      </c>
      <c r="P127" s="169">
        <f t="shared" ref="P127:T127" si="35">+P126-P124</f>
        <v>424.63301404237529</v>
      </c>
      <c r="Q127" s="169">
        <f t="shared" si="35"/>
        <v>374.64785847363351</v>
      </c>
      <c r="R127" s="169">
        <f t="shared" si="35"/>
        <v>320.83705092103082</v>
      </c>
      <c r="S127" s="169">
        <f t="shared" si="35"/>
        <v>283.843729073193</v>
      </c>
      <c r="T127" s="169">
        <f t="shared" si="35"/>
        <v>466.66241676684047</v>
      </c>
      <c r="U127" s="1"/>
      <c r="W127" s="155">
        <f t="shared" si="25"/>
        <v>125.0691033869185</v>
      </c>
      <c r="X127" s="169">
        <f t="shared" si="25"/>
        <v>113.34190345365596</v>
      </c>
      <c r="Y127" s="169">
        <f t="shared" si="25"/>
        <v>100</v>
      </c>
      <c r="Z127" s="169">
        <f t="shared" si="25"/>
        <v>85.636963795326295</v>
      </c>
      <c r="AA127" s="169">
        <f t="shared" si="25"/>
        <v>75.762805699627137</v>
      </c>
      <c r="AB127" s="155">
        <f t="shared" si="25"/>
        <v>124.56027872896081</v>
      </c>
      <c r="AC127" s="8"/>
      <c r="AD127" s="8"/>
      <c r="AM127" s="1"/>
      <c r="AN127" s="5"/>
      <c r="AO127" s="1"/>
      <c r="AP127" s="1"/>
      <c r="AY127" s="38"/>
      <c r="AZ127" s="38"/>
      <c r="BB127" s="5"/>
      <c r="BE127" s="8"/>
      <c r="BF127" s="8"/>
      <c r="BG127" s="91"/>
      <c r="BH127" s="18"/>
      <c r="BI127" s="18"/>
      <c r="BJ127" s="8"/>
      <c r="BK127" s="8"/>
      <c r="BL127" s="8"/>
      <c r="BM127" s="8"/>
      <c r="BN127" s="8"/>
      <c r="BO127" s="8"/>
      <c r="BP127" s="8"/>
      <c r="BQ127" s="5"/>
    </row>
    <row r="128" spans="1:69" ht="11.25" customHeight="1" x14ac:dyDescent="0.25">
      <c r="A128" s="25" t="s">
        <v>25</v>
      </c>
      <c r="B128" s="25" t="s">
        <v>24</v>
      </c>
      <c r="H128" s="136" t="str">
        <f t="shared" si="22"/>
        <v>Ječmen tržni</v>
      </c>
      <c r="I128" s="152" t="str">
        <f>+I$90</f>
        <v>Neto dodana vrednost/uro</v>
      </c>
      <c r="J128" s="167" t="str">
        <f>+J$90</f>
        <v>EUR/uro</v>
      </c>
      <c r="K128" s="171">
        <v>9.1532471195229199</v>
      </c>
      <c r="L128" s="171">
        <v>17.620482753570641</v>
      </c>
      <c r="M128" s="172">
        <f t="shared" si="32"/>
        <v>192.50526642056883</v>
      </c>
      <c r="N128" s="8"/>
      <c r="O128" s="171">
        <v>19.279454764868184</v>
      </c>
      <c r="P128" s="171">
        <v>18.636240365797679</v>
      </c>
      <c r="Q128" s="171">
        <v>17.620482753570641</v>
      </c>
      <c r="R128" s="171">
        <v>15.602506960898857</v>
      </c>
      <c r="S128" s="171">
        <v>15.016002077735198</v>
      </c>
      <c r="T128" s="171">
        <v>33.405974998666494</v>
      </c>
      <c r="W128" s="156">
        <f t="shared" si="25"/>
        <v>109.41502020403706</v>
      </c>
      <c r="X128" s="171">
        <f t="shared" si="25"/>
        <v>105.76464122142852</v>
      </c>
      <c r="Y128" s="171">
        <f t="shared" si="25"/>
        <v>100</v>
      </c>
      <c r="Z128" s="171">
        <f t="shared" si="25"/>
        <v>88.547556721947032</v>
      </c>
      <c r="AA128" s="171">
        <f t="shared" si="25"/>
        <v>85.219016344443403</v>
      </c>
      <c r="AB128" s="156">
        <f t="shared" si="25"/>
        <v>189.58603726051183</v>
      </c>
      <c r="AC128" s="4"/>
      <c r="AD128" s="4"/>
      <c r="AE128" s="339" t="s">
        <v>191</v>
      </c>
      <c r="AF128" s="340"/>
      <c r="AG128" s="340"/>
      <c r="AH128" s="340"/>
      <c r="AI128" s="340"/>
      <c r="AJ128" s="340"/>
      <c r="AK128" s="340"/>
      <c r="AL128" s="340"/>
      <c r="AM128" s="340"/>
      <c r="AN128" s="5"/>
      <c r="AY128" s="38"/>
      <c r="AZ128" s="38"/>
      <c r="BD128" s="19"/>
      <c r="BE128" s="41"/>
      <c r="BF128" s="41"/>
      <c r="BG128" s="91"/>
      <c r="BH128" s="18"/>
      <c r="BI128" s="17"/>
      <c r="BJ128" s="4"/>
      <c r="BK128" s="41"/>
      <c r="BL128" s="41"/>
      <c r="BM128" s="41"/>
      <c r="BN128" s="41"/>
      <c r="BO128" s="41"/>
      <c r="BP128" s="4"/>
    </row>
    <row r="129" spans="1:69" ht="11.25" customHeight="1" x14ac:dyDescent="0.25">
      <c r="A129" s="37" t="s">
        <v>67</v>
      </c>
      <c r="H129" s="136" t="str">
        <f t="shared" si="22"/>
        <v>Ječmen tržni</v>
      </c>
      <c r="J129" s="19"/>
      <c r="K129" s="35">
        <v>9.733801953486082E-3</v>
      </c>
      <c r="L129" s="35">
        <v>0</v>
      </c>
      <c r="M129" s="36"/>
      <c r="N129" s="36"/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/>
      <c r="W129" s="4"/>
      <c r="X129" s="4"/>
      <c r="Y129" s="4"/>
      <c r="Z129" s="4"/>
      <c r="AA129" s="4"/>
      <c r="AB129" s="4"/>
      <c r="AC129" s="4"/>
      <c r="AD129" s="4"/>
      <c r="AE129" s="192" t="str">
        <f>AF$10&amp;""&amp;$L$56</f>
        <v>prva ocena letine 2021</v>
      </c>
      <c r="AN129" s="5"/>
      <c r="BD129" s="19"/>
      <c r="BE129" s="35"/>
      <c r="BF129" s="35"/>
      <c r="BG129" s="91"/>
      <c r="BH129" s="35"/>
      <c r="BI129" s="36"/>
      <c r="BJ129" s="36"/>
      <c r="BK129" s="35"/>
      <c r="BL129" s="35"/>
      <c r="BM129" s="35"/>
      <c r="BN129" s="35"/>
      <c r="BO129" s="35"/>
      <c r="BP129" s="4"/>
    </row>
    <row r="130" spans="1:69" ht="15" customHeight="1" x14ac:dyDescent="0.25">
      <c r="A130" s="110"/>
      <c r="B130" s="110"/>
      <c r="C130" s="110"/>
      <c r="D130" s="110"/>
      <c r="E130" s="111"/>
      <c r="F130" s="29"/>
      <c r="G130" s="29"/>
      <c r="H130" s="136" t="str">
        <f>+I132</f>
        <v>Oljna ogrščica</v>
      </c>
      <c r="I130" s="144" t="s">
        <v>148</v>
      </c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  <c r="Y130" s="140"/>
      <c r="Z130" s="140"/>
      <c r="AA130" s="140"/>
      <c r="AB130" s="140"/>
      <c r="AC130" s="140"/>
      <c r="AD130" s="140"/>
      <c r="AE130" s="140"/>
      <c r="AF130" s="140"/>
      <c r="AG130" s="140"/>
      <c r="AH130" s="140"/>
      <c r="AI130" s="140"/>
      <c r="AJ130" s="140"/>
      <c r="AK130" s="140"/>
      <c r="AL130" s="140"/>
      <c r="AM130" s="140"/>
      <c r="AN130" s="136"/>
      <c r="BC130" s="13"/>
      <c r="BD130" s="91"/>
      <c r="BE130" s="91"/>
      <c r="BF130" s="91"/>
      <c r="BG130" s="91"/>
      <c r="BH130" s="92"/>
      <c r="BI130" s="91"/>
      <c r="BJ130" s="91"/>
      <c r="BK130" s="91"/>
      <c r="BL130" s="91"/>
      <c r="BM130" s="91"/>
      <c r="BN130" s="91"/>
      <c r="BO130" s="91"/>
      <c r="BP130" s="91"/>
    </row>
    <row r="131" spans="1:69" ht="14.25" customHeight="1" x14ac:dyDescent="0.25">
      <c r="A131" s="110"/>
      <c r="B131" s="110"/>
      <c r="C131" s="110"/>
      <c r="D131" s="110"/>
      <c r="E131" s="111"/>
      <c r="F131" s="29"/>
      <c r="G131" s="29"/>
      <c r="H131" s="136" t="str">
        <f>+H130</f>
        <v>Oljna ogrščica</v>
      </c>
      <c r="I131" s="144" t="s">
        <v>149</v>
      </c>
      <c r="J131" s="140"/>
      <c r="K131" s="143" t="str">
        <f>+F132</f>
        <v>oljrep</v>
      </c>
      <c r="L131" s="143" t="str">
        <f>+K131</f>
        <v>oljrep</v>
      </c>
      <c r="M131" s="143"/>
      <c r="N131" s="143"/>
      <c r="O131" s="143" t="s">
        <v>141</v>
      </c>
      <c r="P131" s="143" t="s">
        <v>142</v>
      </c>
      <c r="Q131" s="143" t="s">
        <v>150</v>
      </c>
      <c r="R131" s="143" t="s">
        <v>172</v>
      </c>
      <c r="S131" s="143" t="s">
        <v>173</v>
      </c>
      <c r="T131" s="143" t="s">
        <v>174</v>
      </c>
      <c r="U131" s="143"/>
      <c r="V131" s="139"/>
      <c r="W131" s="139"/>
      <c r="X131" s="140"/>
      <c r="Y131" s="140"/>
      <c r="Z131" s="140"/>
      <c r="AA131" s="140"/>
      <c r="AB131" s="140"/>
      <c r="AC131" s="140"/>
      <c r="AD131" s="140"/>
      <c r="AE131" s="140"/>
      <c r="AF131" s="140"/>
      <c r="AG131" s="140"/>
      <c r="AH131" s="140"/>
      <c r="AI131" s="140"/>
      <c r="AJ131" s="140"/>
      <c r="AK131" s="140"/>
      <c r="AL131" s="140"/>
      <c r="AM131" s="140"/>
      <c r="AN131" s="136"/>
      <c r="BC131" s="13"/>
      <c r="BD131" s="68"/>
      <c r="BE131" s="12"/>
      <c r="BF131" s="12"/>
      <c r="BG131" s="91"/>
      <c r="BH131" s="68"/>
      <c r="BI131" s="68"/>
      <c r="BJ131" s="68"/>
      <c r="BK131" s="12"/>
      <c r="BL131" s="12"/>
      <c r="BM131" s="12"/>
      <c r="BN131" s="12"/>
      <c r="BO131" s="12"/>
      <c r="BP131" s="12"/>
    </row>
    <row r="132" spans="1:69" ht="15.75" customHeight="1" x14ac:dyDescent="0.25">
      <c r="F132" s="5" t="s">
        <v>120</v>
      </c>
      <c r="H132" s="136" t="str">
        <f t="shared" ref="H132:H167" si="36">+H131</f>
        <v>Oljna ogrščica</v>
      </c>
      <c r="I132" s="149" t="s">
        <v>263</v>
      </c>
      <c r="J132" s="158"/>
      <c r="K132" s="185">
        <f>K$52</f>
        <v>2020</v>
      </c>
      <c r="L132" s="185">
        <f>+L$56</f>
        <v>2021</v>
      </c>
      <c r="M132" s="341" t="str">
        <f>"Indeks "&amp;L132&amp;"/"&amp;RIGHT(K132,2)</f>
        <v>Indeks 2021/20</v>
      </c>
      <c r="N132" s="186"/>
      <c r="O132" s="179"/>
      <c r="P132" s="179"/>
      <c r="Q132" s="179" t="str">
        <f>+L132&amp;" "&amp;L$51</f>
        <v>2021 (prva ocena)</v>
      </c>
      <c r="R132" s="179"/>
      <c r="S132" s="179"/>
      <c r="T132" s="179"/>
      <c r="U132" s="142"/>
      <c r="V132" s="142"/>
      <c r="W132" s="179"/>
      <c r="X132" s="179"/>
      <c r="Y132" s="179" t="s">
        <v>166</v>
      </c>
      <c r="Z132" s="179"/>
      <c r="AA132" s="179"/>
      <c r="AB132" s="179"/>
      <c r="AC132" s="66"/>
      <c r="AD132" s="66"/>
      <c r="AE132" s="66"/>
      <c r="AF132" s="66"/>
      <c r="AG132" s="66"/>
      <c r="AH132" s="66"/>
      <c r="AI132" s="66"/>
      <c r="AJ132" s="66"/>
      <c r="AK132" s="66"/>
      <c r="BC132" s="103"/>
      <c r="BE132" s="66"/>
      <c r="BF132" s="66"/>
      <c r="BG132" s="91"/>
      <c r="BH132" s="34"/>
      <c r="BI132" s="67"/>
      <c r="BJ132" s="34"/>
      <c r="BK132" s="66"/>
      <c r="BL132" s="66"/>
      <c r="BM132" s="66"/>
      <c r="BN132" s="66"/>
      <c r="BO132" s="66"/>
      <c r="BP132" s="66"/>
    </row>
    <row r="133" spans="1:69" ht="24" customHeight="1" x14ac:dyDescent="0.25">
      <c r="H133" s="136" t="str">
        <f t="shared" si="36"/>
        <v>Oljna ogrščica</v>
      </c>
      <c r="I133" s="150" t="s">
        <v>84</v>
      </c>
      <c r="J133" s="158" t="str">
        <f>+J57</f>
        <v>Enota</v>
      </c>
      <c r="K133" s="185"/>
      <c r="L133" s="330" t="str">
        <f>IF(ISBLANK(L$51),"",L$51)</f>
        <v>(prva ocena)</v>
      </c>
      <c r="M133" s="342"/>
      <c r="N133" s="186"/>
      <c r="O133" s="187" t="s">
        <v>83</v>
      </c>
      <c r="P133" s="214" t="s">
        <v>82</v>
      </c>
      <c r="Q133" s="185" t="s">
        <v>81</v>
      </c>
      <c r="R133" s="185" t="s">
        <v>80</v>
      </c>
      <c r="S133" s="185" t="s">
        <v>79</v>
      </c>
      <c r="T133" s="205" t="s">
        <v>78</v>
      </c>
      <c r="U133" s="191"/>
      <c r="V133" s="191"/>
      <c r="W133" s="188" t="str">
        <f>+O133</f>
        <v>M 1</v>
      </c>
      <c r="X133" s="214" t="str">
        <f t="shared" ref="X133:AB133" si="37">+P133</f>
        <v>M 2</v>
      </c>
      <c r="Y133" s="185" t="str">
        <f t="shared" si="37"/>
        <v>M 3</v>
      </c>
      <c r="Z133" s="185" t="str">
        <f t="shared" si="37"/>
        <v>M 4</v>
      </c>
      <c r="AA133" s="185" t="str">
        <f t="shared" si="37"/>
        <v>M 5</v>
      </c>
      <c r="AB133" s="188" t="str">
        <f t="shared" si="37"/>
        <v>M 6</v>
      </c>
      <c r="AC133" s="66"/>
      <c r="AD133" s="66"/>
      <c r="AE133" s="66"/>
      <c r="AF133" s="66"/>
      <c r="AG133" s="66"/>
      <c r="AH133" s="66"/>
      <c r="AI133" s="66"/>
      <c r="AJ133" s="66"/>
      <c r="AK133" s="66"/>
      <c r="BC133" s="9"/>
      <c r="BD133" s="9"/>
      <c r="BE133" s="66"/>
      <c r="BF133" s="66"/>
      <c r="BG133" s="91"/>
      <c r="BH133" s="34"/>
      <c r="BI133" s="66"/>
      <c r="BJ133" s="66"/>
      <c r="BK133" s="66"/>
      <c r="BL133" s="66"/>
      <c r="BM133" s="66"/>
      <c r="BN133" s="66"/>
      <c r="BO133" s="66"/>
      <c r="BP133" s="66"/>
    </row>
    <row r="134" spans="1:69" x14ac:dyDescent="0.25">
      <c r="A134" s="25" t="s">
        <v>22</v>
      </c>
      <c r="H134" s="136" t="str">
        <f t="shared" si="36"/>
        <v>Oljna ogrščica</v>
      </c>
      <c r="I134" s="9" t="s">
        <v>21</v>
      </c>
      <c r="J134" s="159" t="s">
        <v>20</v>
      </c>
      <c r="K134" s="160">
        <v>3500</v>
      </c>
      <c r="L134" s="160">
        <v>3500</v>
      </c>
      <c r="M134" s="160"/>
      <c r="N134" s="78"/>
      <c r="O134" s="178">
        <v>4000</v>
      </c>
      <c r="P134" s="178">
        <v>3500</v>
      </c>
      <c r="Q134" s="178">
        <v>3000</v>
      </c>
      <c r="R134" s="178">
        <v>2500</v>
      </c>
      <c r="S134" s="178">
        <v>3000</v>
      </c>
      <c r="T134" s="178">
        <v>3500</v>
      </c>
      <c r="U134" s="2"/>
      <c r="V134" s="2"/>
      <c r="W134" s="62">
        <f>O134/$P134*100</f>
        <v>114.28571428571428</v>
      </c>
      <c r="X134" s="180">
        <f t="shared" ref="X134:AB134" si="38">P134/$P134*100</f>
        <v>100</v>
      </c>
      <c r="Y134" s="180">
        <f t="shared" si="38"/>
        <v>85.714285714285708</v>
      </c>
      <c r="Z134" s="180">
        <f t="shared" si="38"/>
        <v>71.428571428571431</v>
      </c>
      <c r="AA134" s="180">
        <f t="shared" si="38"/>
        <v>85.714285714285708</v>
      </c>
      <c r="AB134" s="62">
        <f t="shared" si="38"/>
        <v>100</v>
      </c>
      <c r="AC134" s="82"/>
      <c r="AD134" s="82"/>
      <c r="AE134" s="82"/>
      <c r="AF134" s="82"/>
      <c r="AG134" s="82"/>
      <c r="AH134" s="82"/>
      <c r="AI134" s="82"/>
      <c r="AJ134" s="82"/>
      <c r="AK134" s="82"/>
      <c r="BC134" s="9"/>
      <c r="BD134" s="9"/>
      <c r="BE134" s="11"/>
      <c r="BF134" s="11"/>
      <c r="BG134" s="91"/>
      <c r="BH134" s="80"/>
      <c r="BI134" s="78"/>
      <c r="BJ134" s="78"/>
      <c r="BK134" s="11"/>
      <c r="BL134" s="11"/>
      <c r="BM134" s="11"/>
      <c r="BN134" s="11"/>
      <c r="BO134" s="11"/>
      <c r="BP134" s="66"/>
    </row>
    <row r="135" spans="1:69" ht="6" customHeight="1" x14ac:dyDescent="0.25">
      <c r="H135" s="136" t="str">
        <f t="shared" si="36"/>
        <v>Oljna ogrščica</v>
      </c>
      <c r="I135" s="9"/>
      <c r="J135" s="159"/>
      <c r="K135" s="161"/>
      <c r="L135" s="161"/>
      <c r="M135" s="160"/>
      <c r="N135" s="78"/>
      <c r="O135" s="161"/>
      <c r="P135" s="161"/>
      <c r="Q135" s="161"/>
      <c r="R135" s="161"/>
      <c r="S135" s="161"/>
      <c r="T135" s="161"/>
      <c r="W135" s="82"/>
      <c r="X135" s="181"/>
      <c r="Y135" s="181"/>
      <c r="Z135" s="181"/>
      <c r="AA135" s="181"/>
      <c r="AB135" s="82"/>
      <c r="AC135" s="82"/>
      <c r="AD135" s="82"/>
      <c r="AE135" s="82"/>
      <c r="AF135" s="82"/>
      <c r="AG135" s="82"/>
      <c r="AH135" s="82"/>
      <c r="AI135" s="82"/>
      <c r="AJ135" s="82"/>
      <c r="AK135" s="82"/>
      <c r="BC135" s="9"/>
      <c r="BD135" s="9"/>
      <c r="BE135" s="11"/>
      <c r="BF135" s="11"/>
      <c r="BG135" s="91"/>
      <c r="BH135" s="80"/>
      <c r="BI135" s="78"/>
      <c r="BJ135" s="78"/>
      <c r="BK135" s="11"/>
      <c r="BL135" s="11"/>
      <c r="BM135" s="11"/>
      <c r="BN135" s="11"/>
      <c r="BO135" s="11"/>
      <c r="BP135" s="66"/>
    </row>
    <row r="136" spans="1:69" ht="6" customHeight="1" x14ac:dyDescent="0.25">
      <c r="H136" s="136" t="str">
        <f t="shared" si="36"/>
        <v>Oljna ogrščica</v>
      </c>
      <c r="I136" s="9"/>
      <c r="J136" s="162"/>
      <c r="K136" s="161"/>
      <c r="L136" s="161"/>
      <c r="M136" s="161"/>
      <c r="N136" s="137"/>
      <c r="O136" s="161"/>
      <c r="P136" s="161"/>
      <c r="Q136" s="161"/>
      <c r="R136" s="161"/>
      <c r="S136" s="161"/>
      <c r="T136" s="161"/>
      <c r="W136" s="84"/>
      <c r="X136" s="182"/>
      <c r="Y136" s="182"/>
      <c r="Z136" s="182"/>
      <c r="AA136" s="182"/>
      <c r="AB136" s="84"/>
      <c r="AC136" s="82"/>
      <c r="AD136" s="82"/>
      <c r="AE136" s="82"/>
      <c r="AF136" s="82"/>
      <c r="AG136" s="82"/>
      <c r="AH136" s="82"/>
      <c r="AI136" s="82"/>
      <c r="AJ136" s="82"/>
      <c r="AK136" s="82"/>
      <c r="BC136" s="9"/>
      <c r="BE136" s="78"/>
      <c r="BF136" s="78"/>
      <c r="BG136" s="91"/>
      <c r="BH136" s="80"/>
      <c r="BI136" s="78"/>
      <c r="BJ136" s="78"/>
      <c r="BK136" s="78"/>
      <c r="BL136" s="78"/>
      <c r="BM136" s="78"/>
      <c r="BN136" s="78"/>
      <c r="BO136" s="78"/>
      <c r="BP136" s="66"/>
    </row>
    <row r="137" spans="1:69" ht="11.25" customHeight="1" x14ac:dyDescent="0.25">
      <c r="A137" s="25" t="s">
        <v>91</v>
      </c>
      <c r="H137" s="136" t="str">
        <f t="shared" si="36"/>
        <v>Oljna ogrščica</v>
      </c>
      <c r="I137" s="9" t="s">
        <v>90</v>
      </c>
      <c r="J137" s="159" t="s">
        <v>89</v>
      </c>
      <c r="K137" s="163">
        <v>1</v>
      </c>
      <c r="L137" s="163">
        <v>1</v>
      </c>
      <c r="M137" s="164">
        <f>L137/K137*100</f>
        <v>100</v>
      </c>
      <c r="N137" s="8"/>
      <c r="O137" s="163">
        <v>1</v>
      </c>
      <c r="P137" s="163">
        <v>1</v>
      </c>
      <c r="Q137" s="163">
        <v>1</v>
      </c>
      <c r="R137" s="163">
        <v>1</v>
      </c>
      <c r="S137" s="163">
        <v>5</v>
      </c>
      <c r="T137" s="163">
        <v>5</v>
      </c>
      <c r="U137" s="9"/>
      <c r="V137" s="9"/>
      <c r="W137" s="84">
        <f t="shared" ref="W137:AB166" si="39">O137/$P137*100</f>
        <v>100</v>
      </c>
      <c r="X137" s="182">
        <f t="shared" si="39"/>
        <v>100</v>
      </c>
      <c r="Y137" s="182">
        <f t="shared" si="39"/>
        <v>100</v>
      </c>
      <c r="Z137" s="182">
        <f t="shared" si="39"/>
        <v>100</v>
      </c>
      <c r="AA137" s="182">
        <f t="shared" si="39"/>
        <v>500</v>
      </c>
      <c r="AB137" s="84">
        <f t="shared" si="39"/>
        <v>500</v>
      </c>
      <c r="AC137" s="26"/>
      <c r="AD137" s="26"/>
      <c r="AE137" s="26"/>
      <c r="AF137" s="26"/>
      <c r="AG137" s="26"/>
      <c r="AH137" s="26"/>
      <c r="AI137" s="26"/>
      <c r="AJ137" s="26"/>
      <c r="AK137" s="26"/>
      <c r="BC137" s="9"/>
      <c r="BE137" s="87"/>
      <c r="BF137" s="87"/>
      <c r="BG137" s="91"/>
      <c r="BH137" s="88"/>
      <c r="BI137" s="66"/>
      <c r="BJ137" s="66"/>
      <c r="BK137" s="87"/>
      <c r="BL137" s="87"/>
      <c r="BM137" s="87"/>
      <c r="BN137" s="87"/>
      <c r="BO137" s="87"/>
      <c r="BP137" s="30"/>
    </row>
    <row r="138" spans="1:69" ht="11.25" customHeight="1" x14ac:dyDescent="0.25">
      <c r="H138" s="136" t="str">
        <f t="shared" si="36"/>
        <v>Oljna ogrščica</v>
      </c>
      <c r="I138" s="151" t="str">
        <f>+I$62</f>
        <v>IZVLEČEK ANALITIČNE KALKULACIJE</v>
      </c>
      <c r="J138" s="165"/>
      <c r="K138" s="166"/>
      <c r="L138" s="166"/>
      <c r="M138" s="167"/>
      <c r="O138" s="166"/>
      <c r="P138" s="166"/>
      <c r="Q138" s="166"/>
      <c r="R138" s="166"/>
      <c r="S138" s="166"/>
      <c r="T138" s="166"/>
      <c r="W138" s="154"/>
      <c r="X138" s="166"/>
      <c r="Y138" s="166"/>
      <c r="Z138" s="166"/>
      <c r="AA138" s="166"/>
      <c r="AB138" s="154"/>
      <c r="AC138" s="76"/>
      <c r="AD138" s="76"/>
      <c r="AE138" s="76"/>
      <c r="AF138" s="76"/>
      <c r="AG138" s="76"/>
      <c r="AH138" s="76"/>
      <c r="AI138" s="76"/>
      <c r="AJ138" s="76"/>
      <c r="AK138" s="76"/>
      <c r="BC138" s="9"/>
      <c r="BE138" s="77"/>
      <c r="BF138" s="77"/>
      <c r="BG138" s="91"/>
      <c r="BK138" s="77"/>
      <c r="BL138" s="77"/>
      <c r="BM138" s="77"/>
      <c r="BN138" s="77"/>
      <c r="BO138" s="77"/>
      <c r="BP138" s="76"/>
    </row>
    <row r="139" spans="1:69" s="9" customFormat="1" ht="11.25" customHeight="1" x14ac:dyDescent="0.2">
      <c r="A139" s="25"/>
      <c r="B139" s="25"/>
      <c r="C139" s="25"/>
      <c r="D139" s="25"/>
      <c r="F139" s="5"/>
      <c r="G139" s="5"/>
      <c r="H139" s="136" t="str">
        <f t="shared" si="36"/>
        <v>Oljna ogrščica</v>
      </c>
      <c r="I139" s="151" t="str">
        <f>+I$63</f>
        <v>Stroški blaga in storitev</v>
      </c>
      <c r="J139" s="168" t="str">
        <f>+J$63</f>
        <v>EUR/ha</v>
      </c>
      <c r="K139" s="169">
        <f>+K149-K147-K146</f>
        <v>1156.7870447544597</v>
      </c>
      <c r="L139" s="169">
        <f>+L149-L147-L146</f>
        <v>1210.3587239143735</v>
      </c>
      <c r="M139" s="170">
        <f t="shared" ref="M139:M145" si="40">L139/K139*100</f>
        <v>104.63107530490066</v>
      </c>
      <c r="N139" s="8"/>
      <c r="O139" s="169">
        <f t="shared" ref="O139:T139" si="41">+O149-O147-O146</f>
        <v>1293.5986830233635</v>
      </c>
      <c r="P139" s="169">
        <f t="shared" si="41"/>
        <v>1210.3587239143735</v>
      </c>
      <c r="Q139" s="169">
        <f t="shared" si="41"/>
        <v>1117.7521954688841</v>
      </c>
      <c r="R139" s="169">
        <f t="shared" si="41"/>
        <v>1013.8905855559535</v>
      </c>
      <c r="S139" s="169">
        <f t="shared" si="41"/>
        <v>1060.4581408044942</v>
      </c>
      <c r="T139" s="169">
        <f t="shared" si="41"/>
        <v>1151.6019003113768</v>
      </c>
      <c r="U139" s="1"/>
      <c r="W139" s="155">
        <f t="shared" si="39"/>
        <v>106.87729657863636</v>
      </c>
      <c r="X139" s="169">
        <f t="shared" si="39"/>
        <v>100</v>
      </c>
      <c r="Y139" s="169">
        <f t="shared" si="39"/>
        <v>92.348836207335765</v>
      </c>
      <c r="Z139" s="169">
        <f t="shared" si="39"/>
        <v>83.767776075258908</v>
      </c>
      <c r="AA139" s="169">
        <f t="shared" si="39"/>
        <v>87.615193731566478</v>
      </c>
      <c r="AB139" s="155">
        <f t="shared" si="39"/>
        <v>95.14550335846107</v>
      </c>
      <c r="AC139" s="8"/>
      <c r="AD139" s="8"/>
      <c r="AE139" s="8"/>
      <c r="AF139" s="8"/>
      <c r="AG139" s="8"/>
      <c r="AH139" s="8"/>
      <c r="AI139" s="8"/>
      <c r="AJ139" s="8"/>
      <c r="AK139" s="8"/>
      <c r="AY139" s="38"/>
      <c r="AZ139" s="38"/>
      <c r="BB139" s="5"/>
      <c r="BE139" s="18"/>
      <c r="BF139" s="18"/>
      <c r="BG139" s="91"/>
      <c r="BH139" s="18"/>
      <c r="BI139" s="18"/>
      <c r="BJ139" s="18"/>
      <c r="BK139" s="18"/>
      <c r="BL139" s="18"/>
      <c r="BM139" s="18"/>
      <c r="BN139" s="18"/>
      <c r="BO139" s="18"/>
      <c r="BP139" s="8"/>
      <c r="BQ139" s="5"/>
    </row>
    <row r="140" spans="1:69" ht="11.25" customHeight="1" x14ac:dyDescent="0.25">
      <c r="A140" s="25" t="s">
        <v>19</v>
      </c>
      <c r="H140" s="136" t="str">
        <f t="shared" si="36"/>
        <v>Oljna ogrščica</v>
      </c>
      <c r="I140" s="152" t="str">
        <f>+I$64</f>
        <v xml:space="preserve">  Od tega: seme</v>
      </c>
      <c r="J140" s="165" t="str">
        <f>+J$64</f>
        <v>EUR/ha</v>
      </c>
      <c r="K140" s="171">
        <v>76.594999999999999</v>
      </c>
      <c r="L140" s="171">
        <v>77.510000000000005</v>
      </c>
      <c r="M140" s="172">
        <f t="shared" si="40"/>
        <v>101.1945949474509</v>
      </c>
      <c r="N140" s="8"/>
      <c r="O140" s="171">
        <v>77.510000000000005</v>
      </c>
      <c r="P140" s="171">
        <v>77.510000000000005</v>
      </c>
      <c r="Q140" s="171">
        <v>77.510000000000005</v>
      </c>
      <c r="R140" s="171">
        <v>77.510000000000005</v>
      </c>
      <c r="S140" s="171">
        <v>77.510000000000005</v>
      </c>
      <c r="T140" s="171">
        <v>77.510000000000005</v>
      </c>
      <c r="W140" s="156">
        <f t="shared" si="39"/>
        <v>100</v>
      </c>
      <c r="X140" s="171">
        <f t="shared" si="39"/>
        <v>100</v>
      </c>
      <c r="Y140" s="171">
        <f t="shared" si="39"/>
        <v>100</v>
      </c>
      <c r="Z140" s="171">
        <f t="shared" si="39"/>
        <v>100</v>
      </c>
      <c r="AA140" s="171">
        <f t="shared" si="39"/>
        <v>100</v>
      </c>
      <c r="AB140" s="156">
        <f t="shared" si="39"/>
        <v>100</v>
      </c>
      <c r="AC140" s="4"/>
      <c r="AD140" s="4"/>
      <c r="AE140" s="4"/>
      <c r="AF140" s="4"/>
      <c r="AG140" s="4"/>
      <c r="AH140" s="4"/>
      <c r="AI140" s="4"/>
      <c r="AJ140" s="4"/>
      <c r="AK140" s="4"/>
      <c r="AY140" s="38"/>
      <c r="AZ140" s="38"/>
      <c r="BE140" s="7"/>
      <c r="BF140" s="7"/>
      <c r="BG140" s="91"/>
      <c r="BH140" s="18"/>
      <c r="BI140" s="7"/>
      <c r="BJ140" s="4"/>
      <c r="BK140" s="7"/>
      <c r="BL140" s="7"/>
      <c r="BM140" s="7"/>
      <c r="BN140" s="7"/>
      <c r="BO140" s="7"/>
      <c r="BP140" s="4"/>
    </row>
    <row r="141" spans="1:69" ht="11.25" customHeight="1" x14ac:dyDescent="0.25">
      <c r="A141" s="25" t="s">
        <v>18</v>
      </c>
      <c r="B141" s="25" t="s">
        <v>17</v>
      </c>
      <c r="H141" s="136" t="str">
        <f t="shared" si="36"/>
        <v>Oljna ogrščica</v>
      </c>
      <c r="I141" s="152" t="str">
        <f>+I$65</f>
        <v xml:space="preserve">                 gnojila</v>
      </c>
      <c r="J141" s="165" t="str">
        <f>+J$65</f>
        <v>EUR/ha</v>
      </c>
      <c r="K141" s="171">
        <v>390.6856716371035</v>
      </c>
      <c r="L141" s="171">
        <v>393.59228769293185</v>
      </c>
      <c r="M141" s="172">
        <f t="shared" si="40"/>
        <v>100.74397815605795</v>
      </c>
      <c r="N141" s="8"/>
      <c r="O141" s="171">
        <v>459.09077117152572</v>
      </c>
      <c r="P141" s="171">
        <v>393.59228769293185</v>
      </c>
      <c r="Q141" s="171">
        <v>328.00816588762893</v>
      </c>
      <c r="R141" s="171">
        <v>262.39682704327049</v>
      </c>
      <c r="S141" s="171">
        <v>328.00816588762893</v>
      </c>
      <c r="T141" s="171">
        <v>393.59228769293185</v>
      </c>
      <c r="W141" s="156">
        <f t="shared" si="39"/>
        <v>116.64120093981458</v>
      </c>
      <c r="X141" s="171">
        <f t="shared" si="39"/>
        <v>100</v>
      </c>
      <c r="Y141" s="171">
        <f t="shared" si="39"/>
        <v>83.337040928894027</v>
      </c>
      <c r="Z141" s="171">
        <f t="shared" si="39"/>
        <v>66.66716682415894</v>
      </c>
      <c r="AA141" s="171">
        <f t="shared" si="39"/>
        <v>83.337040928894027</v>
      </c>
      <c r="AB141" s="156">
        <f t="shared" si="39"/>
        <v>100</v>
      </c>
      <c r="AC141" s="4"/>
      <c r="AD141" s="4"/>
      <c r="AE141" s="4"/>
      <c r="AF141" s="4"/>
      <c r="AG141" s="4"/>
      <c r="AH141" s="4"/>
      <c r="AI141" s="4"/>
      <c r="AJ141" s="4"/>
      <c r="AK141" s="4"/>
      <c r="AY141" s="38"/>
      <c r="AZ141" s="38"/>
      <c r="BE141" s="7"/>
      <c r="BF141" s="7"/>
      <c r="BG141" s="91"/>
      <c r="BH141" s="18"/>
      <c r="BI141" s="7"/>
      <c r="BJ141" s="4"/>
      <c r="BK141" s="7"/>
      <c r="BL141" s="7"/>
      <c r="BM141" s="7"/>
      <c r="BN141" s="7"/>
      <c r="BO141" s="7"/>
      <c r="BP141" s="4"/>
    </row>
    <row r="142" spans="1:69" ht="11.25" customHeight="1" x14ac:dyDescent="0.25">
      <c r="A142" s="25" t="s">
        <v>16</v>
      </c>
      <c r="H142" s="136" t="str">
        <f t="shared" si="36"/>
        <v>Oljna ogrščica</v>
      </c>
      <c r="I142" s="152" t="str">
        <f>+I$66</f>
        <v xml:space="preserve">                 sredstva za varstvo</v>
      </c>
      <c r="J142" s="165" t="str">
        <f>+J$66</f>
        <v>EUR/ha</v>
      </c>
      <c r="K142" s="171">
        <v>126.34842</v>
      </c>
      <c r="L142" s="171">
        <v>131.46881999999999</v>
      </c>
      <c r="M142" s="172">
        <f t="shared" si="40"/>
        <v>104.05260311130127</v>
      </c>
      <c r="N142" s="8"/>
      <c r="O142" s="171">
        <v>131.46881999999999</v>
      </c>
      <c r="P142" s="171">
        <v>131.46881999999999</v>
      </c>
      <c r="Q142" s="171">
        <v>131.46881999999999</v>
      </c>
      <c r="R142" s="171">
        <v>131.46881999999999</v>
      </c>
      <c r="S142" s="171">
        <v>131.46881999999999</v>
      </c>
      <c r="T142" s="171">
        <v>131.46881999999999</v>
      </c>
      <c r="W142" s="156">
        <f t="shared" si="39"/>
        <v>100</v>
      </c>
      <c r="X142" s="171">
        <f t="shared" si="39"/>
        <v>100</v>
      </c>
      <c r="Y142" s="171">
        <f t="shared" si="39"/>
        <v>100</v>
      </c>
      <c r="Z142" s="171">
        <f t="shared" si="39"/>
        <v>100</v>
      </c>
      <c r="AA142" s="171">
        <f t="shared" si="39"/>
        <v>100</v>
      </c>
      <c r="AB142" s="156">
        <f t="shared" si="39"/>
        <v>100</v>
      </c>
      <c r="AC142" s="4"/>
      <c r="AD142" s="4"/>
      <c r="AE142" s="4"/>
      <c r="AF142" s="4"/>
      <c r="AG142" s="4"/>
      <c r="AH142" s="4"/>
      <c r="AI142" s="4"/>
      <c r="AJ142" s="4"/>
      <c r="AK142" s="4"/>
      <c r="AY142" s="38"/>
      <c r="AZ142" s="38"/>
      <c r="BE142" s="7"/>
      <c r="BF142" s="7"/>
      <c r="BG142" s="91"/>
      <c r="BH142" s="18"/>
      <c r="BI142" s="7"/>
      <c r="BJ142" s="4"/>
      <c r="BK142" s="7"/>
      <c r="BL142" s="7"/>
      <c r="BM142" s="7"/>
      <c r="BN142" s="7"/>
      <c r="BO142" s="7"/>
      <c r="BP142" s="4"/>
    </row>
    <row r="143" spans="1:69" ht="11.25" customHeight="1" x14ac:dyDescent="0.25">
      <c r="A143" s="25" t="s">
        <v>15</v>
      </c>
      <c r="B143" s="25" t="s">
        <v>14</v>
      </c>
      <c r="C143" s="25" t="s">
        <v>13</v>
      </c>
      <c r="H143" s="136" t="str">
        <f t="shared" si="36"/>
        <v>Oljna ogrščica</v>
      </c>
      <c r="I143" s="152" t="str">
        <f>+I$67</f>
        <v xml:space="preserve">                 najete storitve</v>
      </c>
      <c r="J143" s="165" t="str">
        <f>+J$67</f>
        <v>EUR/ha</v>
      </c>
      <c r="K143" s="171">
        <v>245.16641285266456</v>
      </c>
      <c r="L143" s="171">
        <v>261.13291128526646</v>
      </c>
      <c r="M143" s="172">
        <f t="shared" si="40"/>
        <v>106.5125146005204</v>
      </c>
      <c r="N143" s="8"/>
      <c r="O143" s="171">
        <v>274.38995673981191</v>
      </c>
      <c r="P143" s="171">
        <v>261.13291128526646</v>
      </c>
      <c r="Q143" s="171">
        <v>247.87586583072101</v>
      </c>
      <c r="R143" s="171">
        <v>234.61882037617553</v>
      </c>
      <c r="S143" s="171">
        <v>247.87586583072101</v>
      </c>
      <c r="T143" s="171">
        <v>261.13291128526646</v>
      </c>
      <c r="W143" s="156">
        <f t="shared" si="39"/>
        <v>105.07674248691816</v>
      </c>
      <c r="X143" s="171">
        <f t="shared" si="39"/>
        <v>100</v>
      </c>
      <c r="Y143" s="171">
        <f t="shared" si="39"/>
        <v>94.923257513081836</v>
      </c>
      <c r="Z143" s="171">
        <f t="shared" si="39"/>
        <v>89.846515026163658</v>
      </c>
      <c r="AA143" s="171">
        <f t="shared" si="39"/>
        <v>94.923257513081836</v>
      </c>
      <c r="AB143" s="156">
        <f t="shared" si="39"/>
        <v>100</v>
      </c>
      <c r="AC143" s="4"/>
      <c r="AD143" s="4"/>
      <c r="AE143" s="4"/>
      <c r="AF143" s="4"/>
      <c r="AG143" s="4"/>
      <c r="AH143" s="4"/>
      <c r="AI143" s="4"/>
      <c r="AJ143" s="4"/>
      <c r="AK143" s="4"/>
      <c r="AY143" s="38"/>
      <c r="AZ143" s="38"/>
      <c r="BE143" s="7"/>
      <c r="BF143" s="7"/>
      <c r="BG143" s="91"/>
      <c r="BH143" s="18"/>
      <c r="BI143" s="7"/>
      <c r="BJ143" s="4"/>
      <c r="BK143" s="7"/>
      <c r="BL143" s="7"/>
      <c r="BM143" s="7"/>
      <c r="BN143" s="7"/>
      <c r="BO143" s="7"/>
      <c r="BP143" s="4"/>
    </row>
    <row r="144" spans="1:69" ht="11.25" customHeight="1" x14ac:dyDescent="0.25">
      <c r="A144" s="25" t="s">
        <v>12</v>
      </c>
      <c r="H144" s="136" t="str">
        <f t="shared" si="36"/>
        <v>Oljna ogrščica</v>
      </c>
      <c r="I144" s="152" t="str">
        <f>+I$68</f>
        <v xml:space="preserve">                 zavarovanje</v>
      </c>
      <c r="J144" s="165" t="str">
        <f>+J$68</f>
        <v>EUR/ha</v>
      </c>
      <c r="K144" s="171">
        <v>38.25</v>
      </c>
      <c r="L144" s="171">
        <v>34.425000000000004</v>
      </c>
      <c r="M144" s="172">
        <f t="shared" si="40"/>
        <v>90.000000000000014</v>
      </c>
      <c r="N144" s="8"/>
      <c r="O144" s="171">
        <v>34.425000000000004</v>
      </c>
      <c r="P144" s="171">
        <v>34.425000000000004</v>
      </c>
      <c r="Q144" s="171">
        <v>34.424999999999997</v>
      </c>
      <c r="R144" s="171">
        <v>28.687499999999996</v>
      </c>
      <c r="S144" s="171">
        <v>34.424999999999997</v>
      </c>
      <c r="T144" s="171">
        <v>34.425000000000004</v>
      </c>
      <c r="W144" s="156">
        <f t="shared" si="39"/>
        <v>100</v>
      </c>
      <c r="X144" s="171">
        <f t="shared" si="39"/>
        <v>100</v>
      </c>
      <c r="Y144" s="171">
        <f t="shared" si="39"/>
        <v>99.999999999999972</v>
      </c>
      <c r="Z144" s="171">
        <f t="shared" si="39"/>
        <v>83.333333333333314</v>
      </c>
      <c r="AA144" s="171">
        <f t="shared" si="39"/>
        <v>99.999999999999972</v>
      </c>
      <c r="AB144" s="156">
        <f t="shared" si="39"/>
        <v>100</v>
      </c>
      <c r="AC144" s="4"/>
      <c r="AD144" s="4"/>
      <c r="AE144" s="4"/>
      <c r="AF144" s="4"/>
      <c r="AG144" s="4"/>
      <c r="AH144" s="4"/>
      <c r="AI144" s="4"/>
      <c r="AJ144" s="4"/>
      <c r="AK144" s="4"/>
      <c r="AY144" s="38"/>
      <c r="AZ144" s="38"/>
      <c r="BE144" s="7"/>
      <c r="BF144" s="7"/>
      <c r="BG144" s="91"/>
      <c r="BH144" s="18"/>
      <c r="BI144" s="7"/>
      <c r="BJ144" s="4"/>
      <c r="BK144" s="7"/>
      <c r="BL144" s="7"/>
      <c r="BM144" s="7"/>
      <c r="BN144" s="7"/>
      <c r="BO144" s="7"/>
      <c r="BP144" s="4"/>
    </row>
    <row r="145" spans="1:69" ht="11.25" customHeight="1" x14ac:dyDescent="0.25">
      <c r="A145" s="25" t="s">
        <v>11</v>
      </c>
      <c r="H145" s="136" t="str">
        <f t="shared" si="36"/>
        <v>Oljna ogrščica</v>
      </c>
      <c r="I145" s="152" t="str">
        <f>+I$69</f>
        <v xml:space="preserve">                 domače strojne storitve</v>
      </c>
      <c r="J145" s="165" t="str">
        <f>+J$69</f>
        <v>EUR/ha</v>
      </c>
      <c r="K145" s="171">
        <v>259.81139162160673</v>
      </c>
      <c r="L145" s="171">
        <v>288.71812334212734</v>
      </c>
      <c r="M145" s="172">
        <f t="shared" si="40"/>
        <v>111.12604475889218</v>
      </c>
      <c r="N145" s="8"/>
      <c r="O145" s="171">
        <v>290.27145300109123</v>
      </c>
      <c r="P145" s="171">
        <v>288.71812334212734</v>
      </c>
      <c r="Q145" s="171">
        <v>278.11358968004106</v>
      </c>
      <c r="R145" s="171">
        <v>262.10779350329807</v>
      </c>
      <c r="S145" s="171">
        <v>221.84873668875773</v>
      </c>
      <c r="T145" s="171">
        <v>231.02644540442284</v>
      </c>
      <c r="W145" s="156">
        <f t="shared" si="39"/>
        <v>100.53800905914147</v>
      </c>
      <c r="X145" s="171">
        <f t="shared" si="39"/>
        <v>100</v>
      </c>
      <c r="Y145" s="171">
        <f t="shared" si="39"/>
        <v>96.327028750626766</v>
      </c>
      <c r="Z145" s="171">
        <f t="shared" si="39"/>
        <v>90.783283871897311</v>
      </c>
      <c r="AA145" s="171">
        <f t="shared" si="39"/>
        <v>76.839214012855635</v>
      </c>
      <c r="AB145" s="156">
        <f t="shared" si="39"/>
        <v>80.017992196028302</v>
      </c>
      <c r="AC145" s="4"/>
      <c r="AD145" s="4"/>
      <c r="AE145" s="4"/>
      <c r="AF145" s="4"/>
      <c r="AG145" s="4"/>
      <c r="AH145" s="4"/>
      <c r="AI145" s="4"/>
      <c r="AJ145" s="4"/>
      <c r="AK145" s="4"/>
      <c r="AY145" s="38"/>
      <c r="AZ145" s="38"/>
      <c r="BE145" s="7"/>
      <c r="BF145" s="7"/>
      <c r="BG145" s="91"/>
      <c r="BH145" s="18"/>
      <c r="BI145" s="7"/>
      <c r="BJ145" s="4"/>
      <c r="BK145" s="7"/>
      <c r="BL145" s="7"/>
      <c r="BM145" s="7"/>
      <c r="BN145" s="7"/>
      <c r="BO145" s="7"/>
      <c r="BP145" s="4"/>
    </row>
    <row r="146" spans="1:69" s="9" customFormat="1" ht="11.25" customHeight="1" x14ac:dyDescent="0.2">
      <c r="A146" s="25" t="s">
        <v>10</v>
      </c>
      <c r="B146" s="25"/>
      <c r="C146" s="25"/>
      <c r="D146" s="25"/>
      <c r="F146" s="5"/>
      <c r="G146" s="5"/>
      <c r="H146" s="136" t="str">
        <f t="shared" si="36"/>
        <v>Oljna ogrščica</v>
      </c>
      <c r="I146" s="152" t="str">
        <f>+I$70</f>
        <v>Amortizacija</v>
      </c>
      <c r="J146" s="165" t="str">
        <f>+J$70</f>
        <v>EUR/ha</v>
      </c>
      <c r="K146" s="171">
        <v>0</v>
      </c>
      <c r="L146" s="171">
        <v>0</v>
      </c>
      <c r="M146" s="172"/>
      <c r="N146" s="8"/>
      <c r="O146" s="171">
        <v>0</v>
      </c>
      <c r="P146" s="171">
        <v>0</v>
      </c>
      <c r="Q146" s="171">
        <v>0</v>
      </c>
      <c r="R146" s="171">
        <v>0</v>
      </c>
      <c r="S146" s="171">
        <v>0</v>
      </c>
      <c r="T146" s="171">
        <v>0</v>
      </c>
      <c r="U146" s="1"/>
      <c r="V146" s="1"/>
      <c r="W146" s="156"/>
      <c r="X146" s="171"/>
      <c r="Y146" s="171"/>
      <c r="Z146" s="171"/>
      <c r="AA146" s="171"/>
      <c r="AB146" s="156"/>
      <c r="AC146" s="4"/>
      <c r="AD146" s="4"/>
      <c r="AE146" s="4"/>
      <c r="AF146" s="4"/>
      <c r="AG146" s="4"/>
      <c r="AH146" s="4"/>
      <c r="AI146" s="4"/>
      <c r="AJ146" s="4"/>
      <c r="AK146" s="4"/>
      <c r="AL146" s="1"/>
      <c r="AM146" s="1"/>
      <c r="AY146" s="38"/>
      <c r="AZ146" s="38"/>
      <c r="BB146" s="5"/>
      <c r="BC146" s="1"/>
      <c r="BD146" s="1"/>
      <c r="BE146" s="7"/>
      <c r="BF146" s="7"/>
      <c r="BG146" s="91"/>
      <c r="BH146" s="18"/>
      <c r="BI146" s="7"/>
      <c r="BJ146" s="4"/>
      <c r="BK146" s="7"/>
      <c r="BL146" s="7"/>
      <c r="BM146" s="7"/>
      <c r="BN146" s="7"/>
      <c r="BO146" s="7"/>
      <c r="BP146" s="4"/>
      <c r="BQ146" s="5"/>
    </row>
    <row r="147" spans="1:69" s="9" customFormat="1" ht="11.25" customHeight="1" x14ac:dyDescent="0.2">
      <c r="A147" s="25" t="s">
        <v>7</v>
      </c>
      <c r="B147" s="25" t="s">
        <v>9</v>
      </c>
      <c r="C147" s="25" t="s">
        <v>8</v>
      </c>
      <c r="D147" s="25"/>
      <c r="F147" s="5"/>
      <c r="G147" s="5"/>
      <c r="H147" s="136" t="str">
        <f t="shared" si="36"/>
        <v>Oljna ogrščica</v>
      </c>
      <c r="I147" s="151" t="str">
        <f>+I$71</f>
        <v>Stroški domačega dela in kapitala</v>
      </c>
      <c r="J147" s="168" t="str">
        <f>+J$71</f>
        <v>EUR/ha</v>
      </c>
      <c r="K147" s="169">
        <v>211.65786734408834</v>
      </c>
      <c r="L147" s="169">
        <v>220.32978299128615</v>
      </c>
      <c r="M147" s="170">
        <f>L147/K147*100</f>
        <v>104.09713834690588</v>
      </c>
      <c r="N147" s="8"/>
      <c r="O147" s="169">
        <v>221.55067272221481</v>
      </c>
      <c r="P147" s="169">
        <v>220.32978299128615</v>
      </c>
      <c r="Q147" s="169">
        <v>212.42809358130432</v>
      </c>
      <c r="R147" s="169">
        <v>201.57889165342343</v>
      </c>
      <c r="S147" s="169">
        <v>180.02711866404343</v>
      </c>
      <c r="T147" s="169">
        <v>186.87587164324967</v>
      </c>
      <c r="U147" s="1"/>
      <c r="W147" s="155">
        <f t="shared" si="39"/>
        <v>100.55411924541175</v>
      </c>
      <c r="X147" s="169">
        <f t="shared" si="39"/>
        <v>100</v>
      </c>
      <c r="Y147" s="169">
        <f t="shared" si="39"/>
        <v>96.413698909559429</v>
      </c>
      <c r="Z147" s="169">
        <f t="shared" si="39"/>
        <v>91.489624741924104</v>
      </c>
      <c r="AA147" s="169">
        <f t="shared" si="39"/>
        <v>81.708027040158854</v>
      </c>
      <c r="AB147" s="155">
        <f t="shared" si="39"/>
        <v>84.816437027326643</v>
      </c>
      <c r="AC147" s="8"/>
      <c r="AD147" s="8"/>
      <c r="AE147" s="8"/>
      <c r="AF147" s="8"/>
      <c r="AG147" s="8"/>
      <c r="AH147" s="8"/>
      <c r="AI147" s="8"/>
      <c r="AJ147" s="8"/>
      <c r="AK147" s="8"/>
      <c r="AL147" s="1"/>
      <c r="AM147" s="1"/>
      <c r="AY147" s="38"/>
      <c r="AZ147" s="38"/>
      <c r="BB147" s="5"/>
      <c r="BE147" s="6"/>
      <c r="BF147" s="6"/>
      <c r="BG147" s="91"/>
      <c r="BH147" s="18"/>
      <c r="BI147" s="6"/>
      <c r="BJ147" s="8"/>
      <c r="BK147" s="6"/>
      <c r="BL147" s="6"/>
      <c r="BM147" s="6"/>
      <c r="BN147" s="6"/>
      <c r="BO147" s="6"/>
      <c r="BP147" s="8"/>
      <c r="BQ147" s="5"/>
    </row>
    <row r="148" spans="1:69" ht="11.25" customHeight="1" x14ac:dyDescent="0.25">
      <c r="A148" s="25" t="s">
        <v>7</v>
      </c>
      <c r="H148" s="136" t="str">
        <f t="shared" si="36"/>
        <v>Oljna ogrščica</v>
      </c>
      <c r="I148" s="152" t="str">
        <f>+I$72</f>
        <v xml:space="preserve">  Od tega: domače delo neto</v>
      </c>
      <c r="J148" s="165" t="str">
        <f>+J$72</f>
        <v>EUR/ha</v>
      </c>
      <c r="K148" s="171">
        <v>84.002056880356989</v>
      </c>
      <c r="L148" s="171">
        <v>88.2867768627125</v>
      </c>
      <c r="M148" s="172">
        <f>L148/K148*100</f>
        <v>105.10073222190044</v>
      </c>
      <c r="N148" s="8"/>
      <c r="O148" s="171">
        <v>88.911465866046328</v>
      </c>
      <c r="P148" s="171">
        <v>88.2867768627125</v>
      </c>
      <c r="Q148" s="171">
        <v>84.022044308383215</v>
      </c>
      <c r="R148" s="171">
        <v>78.34356925221222</v>
      </c>
      <c r="S148" s="171">
        <v>67.591759468817202</v>
      </c>
      <c r="T148" s="171">
        <v>71.282678313630271</v>
      </c>
      <c r="W148" s="156">
        <f t="shared" si="39"/>
        <v>100.70756802494355</v>
      </c>
      <c r="X148" s="171">
        <f t="shared" si="39"/>
        <v>100</v>
      </c>
      <c r="Y148" s="171">
        <f t="shared" si="39"/>
        <v>95.169454921929002</v>
      </c>
      <c r="Z148" s="171">
        <f t="shared" si="39"/>
        <v>88.737602658252953</v>
      </c>
      <c r="AA148" s="171">
        <f t="shared" si="39"/>
        <v>76.559323910899565</v>
      </c>
      <c r="AB148" s="156">
        <f t="shared" si="39"/>
        <v>80.739926007805323</v>
      </c>
      <c r="AC148" s="4"/>
      <c r="AD148" s="4"/>
      <c r="AE148" s="4"/>
      <c r="AF148" s="4"/>
      <c r="AG148" s="4"/>
      <c r="AH148" s="4"/>
      <c r="AI148" s="4"/>
      <c r="AJ148" s="4"/>
      <c r="AK148" s="4"/>
      <c r="AY148" s="38"/>
      <c r="AZ148" s="38"/>
      <c r="BE148" s="7"/>
      <c r="BF148" s="7"/>
      <c r="BG148" s="91"/>
      <c r="BH148" s="18"/>
      <c r="BI148" s="7"/>
      <c r="BJ148" s="4"/>
      <c r="BK148" s="7"/>
      <c r="BL148" s="7"/>
      <c r="BM148" s="7"/>
      <c r="BN148" s="7"/>
      <c r="BO148" s="7"/>
      <c r="BP148" s="4"/>
    </row>
    <row r="149" spans="1:69" s="9" customFormat="1" ht="11.25" customHeight="1" x14ac:dyDescent="0.2">
      <c r="A149" s="25" t="s">
        <v>6</v>
      </c>
      <c r="B149" s="25"/>
      <c r="C149" s="25"/>
      <c r="D149" s="25"/>
      <c r="F149" s="5"/>
      <c r="G149" s="5"/>
      <c r="H149" s="136" t="str">
        <f t="shared" si="36"/>
        <v>Oljna ogrščica</v>
      </c>
      <c r="I149" s="151" t="str">
        <f>+I$73</f>
        <v>Stroški skupaj</v>
      </c>
      <c r="J149" s="168" t="str">
        <f>+J$73</f>
        <v>EUR/ha</v>
      </c>
      <c r="K149" s="169">
        <v>1368.444912098548</v>
      </c>
      <c r="L149" s="169">
        <v>1430.6885069056598</v>
      </c>
      <c r="M149" s="170">
        <f>L149/K149*100</f>
        <v>104.54849108333192</v>
      </c>
      <c r="N149" s="8"/>
      <c r="O149" s="169">
        <v>1515.1493557455783</v>
      </c>
      <c r="P149" s="169">
        <v>1430.6885069056598</v>
      </c>
      <c r="Q149" s="169">
        <v>1330.1802890501883</v>
      </c>
      <c r="R149" s="169">
        <v>1215.4694772093769</v>
      </c>
      <c r="S149" s="169">
        <v>1240.4852594685376</v>
      </c>
      <c r="T149" s="169">
        <v>1338.4777719546264</v>
      </c>
      <c r="U149" s="1"/>
      <c r="W149" s="155">
        <f t="shared" si="39"/>
        <v>105.90351068260087</v>
      </c>
      <c r="X149" s="169">
        <f t="shared" si="39"/>
        <v>100</v>
      </c>
      <c r="Y149" s="169">
        <f t="shared" si="39"/>
        <v>92.97483572627182</v>
      </c>
      <c r="Z149" s="169">
        <f t="shared" si="39"/>
        <v>84.956961025585812</v>
      </c>
      <c r="AA149" s="169">
        <f t="shared" si="39"/>
        <v>86.705474565634134</v>
      </c>
      <c r="AB149" s="155">
        <f t="shared" si="39"/>
        <v>93.554800048651416</v>
      </c>
      <c r="AC149" s="8"/>
      <c r="AD149" s="8"/>
      <c r="AE149" s="8"/>
      <c r="AF149" s="8"/>
      <c r="AG149" s="8"/>
      <c r="AH149" s="8"/>
      <c r="AI149" s="8"/>
      <c r="AJ149" s="8"/>
      <c r="AK149" s="8"/>
      <c r="AL149" s="1"/>
      <c r="AM149" s="1"/>
      <c r="AY149" s="38"/>
      <c r="AZ149" s="38"/>
      <c r="BB149" s="5"/>
      <c r="BE149" s="6"/>
      <c r="BF149" s="6"/>
      <c r="BG149" s="91"/>
      <c r="BH149" s="18"/>
      <c r="BI149" s="6"/>
      <c r="BJ149" s="8"/>
      <c r="BK149" s="6"/>
      <c r="BL149" s="6"/>
      <c r="BM149" s="6"/>
      <c r="BN149" s="6"/>
      <c r="BO149" s="6"/>
      <c r="BP149" s="8"/>
      <c r="BQ149" s="5"/>
    </row>
    <row r="150" spans="1:69" ht="12" customHeight="1" x14ac:dyDescent="0.25">
      <c r="A150" s="25" t="s">
        <v>5</v>
      </c>
      <c r="H150" s="136" t="str">
        <f t="shared" si="36"/>
        <v>Oljna ogrščica</v>
      </c>
      <c r="I150" s="152" t="str">
        <f>+I$74</f>
        <v>Stranski pridelki</v>
      </c>
      <c r="J150" s="165" t="str">
        <f>+J$74</f>
        <v>EUR/ha</v>
      </c>
      <c r="K150" s="171">
        <v>0</v>
      </c>
      <c r="L150" s="171">
        <v>0</v>
      </c>
      <c r="M150" s="172"/>
      <c r="N150" s="8"/>
      <c r="O150" s="171">
        <v>0</v>
      </c>
      <c r="P150" s="171">
        <v>0</v>
      </c>
      <c r="Q150" s="171">
        <v>0</v>
      </c>
      <c r="R150" s="171">
        <v>0</v>
      </c>
      <c r="S150" s="171">
        <v>0</v>
      </c>
      <c r="T150" s="171">
        <v>0</v>
      </c>
      <c r="W150" s="156"/>
      <c r="X150" s="171"/>
      <c r="Y150" s="171"/>
      <c r="Z150" s="171"/>
      <c r="AA150" s="171"/>
      <c r="AB150" s="156"/>
      <c r="AC150" s="4"/>
      <c r="AD150" s="4"/>
      <c r="AE150" s="339" t="s">
        <v>177</v>
      </c>
      <c r="AF150" s="340"/>
      <c r="AG150" s="340"/>
      <c r="AH150" s="340"/>
      <c r="AI150" s="340"/>
      <c r="AJ150" s="340"/>
      <c r="AK150" s="340"/>
      <c r="AL150" s="340"/>
      <c r="AM150" s="340"/>
      <c r="AY150" s="38"/>
      <c r="AZ150" s="38"/>
      <c r="BE150" s="7"/>
      <c r="BF150" s="7"/>
      <c r="BG150" s="91"/>
      <c r="BH150" s="18"/>
      <c r="BI150" s="7"/>
      <c r="BJ150" s="4"/>
      <c r="BK150" s="7"/>
      <c r="BL150" s="7"/>
      <c r="BM150" s="7"/>
      <c r="BN150" s="7"/>
      <c r="BO150" s="7"/>
      <c r="BP150" s="4"/>
    </row>
    <row r="151" spans="1:69" ht="12" customHeight="1" x14ac:dyDescent="0.25">
      <c r="H151" s="136" t="str">
        <f t="shared" si="36"/>
        <v>Oljna ogrščica</v>
      </c>
      <c r="I151" s="152" t="str">
        <f>+I$75</f>
        <v>Stroški glavnega pridelka</v>
      </c>
      <c r="J151" s="165" t="str">
        <f>+J$75</f>
        <v>EUR/ha</v>
      </c>
      <c r="K151" s="171">
        <f>+K149-K150</f>
        <v>1368.444912098548</v>
      </c>
      <c r="L151" s="171">
        <f>+L149-L150</f>
        <v>1430.6885069056598</v>
      </c>
      <c r="M151" s="172">
        <f t="shared" ref="M151:M156" si="42">L151/K151*100</f>
        <v>104.54849108333192</v>
      </c>
      <c r="N151" s="8"/>
      <c r="O151" s="171">
        <f t="shared" ref="O151:T151" si="43">+O149-O150</f>
        <v>1515.1493557455783</v>
      </c>
      <c r="P151" s="171">
        <f t="shared" si="43"/>
        <v>1430.6885069056598</v>
      </c>
      <c r="Q151" s="171">
        <f t="shared" si="43"/>
        <v>1330.1802890501883</v>
      </c>
      <c r="R151" s="171">
        <f t="shared" si="43"/>
        <v>1215.4694772093769</v>
      </c>
      <c r="S151" s="171">
        <f t="shared" si="43"/>
        <v>1240.4852594685376</v>
      </c>
      <c r="T151" s="171">
        <f t="shared" si="43"/>
        <v>1338.4777719546264</v>
      </c>
      <c r="W151" s="156">
        <f t="shared" si="39"/>
        <v>105.90351068260087</v>
      </c>
      <c r="X151" s="171">
        <f t="shared" si="39"/>
        <v>100</v>
      </c>
      <c r="Y151" s="171">
        <f t="shared" si="39"/>
        <v>92.97483572627182</v>
      </c>
      <c r="Z151" s="171">
        <f t="shared" si="39"/>
        <v>84.956961025585812</v>
      </c>
      <c r="AA151" s="171">
        <f t="shared" si="39"/>
        <v>86.705474565634134</v>
      </c>
      <c r="AB151" s="156">
        <f t="shared" si="39"/>
        <v>93.554800048651416</v>
      </c>
      <c r="AC151" s="4"/>
      <c r="AD151" s="4"/>
      <c r="AE151" s="192" t="str">
        <f>AF$10&amp;""&amp;$L$56&amp;", upoštevani stroški zmanjšani za subvencije"</f>
        <v>prva ocena letine 2021, upoštevani stroški zmanjšani za subvencije</v>
      </c>
      <c r="AY151" s="38"/>
      <c r="AZ151" s="38"/>
      <c r="BE151" s="17"/>
      <c r="BF151" s="17"/>
      <c r="BG151" s="91"/>
      <c r="BH151" s="18"/>
      <c r="BI151" s="17"/>
      <c r="BJ151" s="17"/>
      <c r="BK151" s="17"/>
      <c r="BL151" s="17"/>
      <c r="BM151" s="17"/>
      <c r="BN151" s="17"/>
      <c r="BO151" s="17"/>
      <c r="BP151" s="4"/>
    </row>
    <row r="152" spans="1:69" ht="11.25" customHeight="1" x14ac:dyDescent="0.25">
      <c r="A152" s="25" t="s">
        <v>4</v>
      </c>
      <c r="B152" s="25" t="s">
        <v>3</v>
      </c>
      <c r="C152" s="21" t="s">
        <v>2</v>
      </c>
      <c r="D152" s="21" t="s">
        <v>1</v>
      </c>
      <c r="H152" s="136" t="str">
        <f t="shared" si="36"/>
        <v>Oljna ogrščica</v>
      </c>
      <c r="I152" s="152" t="str">
        <f>+I$76</f>
        <v>Subvencije</v>
      </c>
      <c r="J152" s="165" t="str">
        <f>+J$76</f>
        <v>EUR/ha</v>
      </c>
      <c r="K152" s="171">
        <v>279.45836809190962</v>
      </c>
      <c r="L152" s="171">
        <v>274.27718294836546</v>
      </c>
      <c r="M152" s="172">
        <f t="shared" si="42"/>
        <v>98.145990338768414</v>
      </c>
      <c r="N152" s="8"/>
      <c r="O152" s="171">
        <v>274.41975533397397</v>
      </c>
      <c r="P152" s="171">
        <v>274.27718294836546</v>
      </c>
      <c r="Q152" s="171">
        <v>273.30384567012311</v>
      </c>
      <c r="R152" s="171">
        <v>272.00409373693969</v>
      </c>
      <c r="S152" s="171">
        <v>269.54261049821639</v>
      </c>
      <c r="T152" s="171">
        <v>270.38498662775282</v>
      </c>
      <c r="W152" s="156">
        <f t="shared" si="39"/>
        <v>100.05198113239895</v>
      </c>
      <c r="X152" s="171">
        <f t="shared" si="39"/>
        <v>100</v>
      </c>
      <c r="Y152" s="171">
        <f t="shared" si="39"/>
        <v>99.645126412711633</v>
      </c>
      <c r="Z152" s="171">
        <f t="shared" si="39"/>
        <v>99.17124378083841</v>
      </c>
      <c r="AA152" s="171">
        <f t="shared" si="39"/>
        <v>98.27380010278128</v>
      </c>
      <c r="AB152" s="156">
        <f t="shared" si="39"/>
        <v>98.580925952799589</v>
      </c>
      <c r="AC152" s="4"/>
      <c r="AD152" s="4"/>
      <c r="AE152" s="4"/>
      <c r="AF152" s="4"/>
      <c r="AG152" s="4"/>
      <c r="AH152" s="4"/>
      <c r="AI152" s="4"/>
      <c r="AJ152" s="4"/>
      <c r="AK152" s="4"/>
      <c r="AY152" s="38"/>
      <c r="AZ152" s="38"/>
      <c r="BE152" s="90"/>
      <c r="BF152" s="90"/>
      <c r="BG152" s="91"/>
      <c r="BH152" s="18"/>
      <c r="BI152" s="6"/>
      <c r="BJ152" s="4"/>
      <c r="BK152" s="90"/>
      <c r="BL152" s="90"/>
      <c r="BM152" s="90"/>
      <c r="BN152" s="90"/>
      <c r="BO152" s="7"/>
      <c r="BP152" s="4"/>
    </row>
    <row r="153" spans="1:69" ht="11.25" customHeight="1" x14ac:dyDescent="0.25">
      <c r="H153" s="136" t="str">
        <f t="shared" si="36"/>
        <v>Oljna ogrščica</v>
      </c>
      <c r="I153" s="151" t="str">
        <f>+I$77</f>
        <v>Stroški, zmanjšani za subvencije</v>
      </c>
      <c r="J153" s="168" t="str">
        <f>+J$77</f>
        <v>EUR/ha</v>
      </c>
      <c r="K153" s="169">
        <f>+K151-K152</f>
        <v>1088.9865440066383</v>
      </c>
      <c r="L153" s="169">
        <f>+L151-L152</f>
        <v>1156.4113239572944</v>
      </c>
      <c r="M153" s="170">
        <f t="shared" si="42"/>
        <v>106.19151635268003</v>
      </c>
      <c r="N153" s="8"/>
      <c r="O153" s="169">
        <f>+O151-O152</f>
        <v>1240.7296004116042</v>
      </c>
      <c r="P153" s="169">
        <f>+P151-P152</f>
        <v>1156.4113239572944</v>
      </c>
      <c r="Q153" s="169">
        <f>+Q151-Q152</f>
        <v>1056.8764433800652</v>
      </c>
      <c r="R153" s="169">
        <f>+R151-R152</f>
        <v>943.46538347243722</v>
      </c>
      <c r="S153" s="169">
        <f t="shared" ref="S153:U153" si="44">+S151-S152</f>
        <v>970.94264897032122</v>
      </c>
      <c r="T153" s="169">
        <f t="shared" si="44"/>
        <v>1068.0927853268736</v>
      </c>
      <c r="U153" s="9">
        <f t="shared" si="44"/>
        <v>0</v>
      </c>
      <c r="V153" s="9"/>
      <c r="W153" s="155">
        <f t="shared" si="39"/>
        <v>107.29137415965184</v>
      </c>
      <c r="X153" s="169">
        <f t="shared" si="39"/>
        <v>100</v>
      </c>
      <c r="Y153" s="169">
        <f t="shared" si="39"/>
        <v>91.392778804982981</v>
      </c>
      <c r="Z153" s="169">
        <f t="shared" si="39"/>
        <v>81.585623032802374</v>
      </c>
      <c r="AA153" s="169">
        <f t="shared" si="39"/>
        <v>83.961703665068711</v>
      </c>
      <c r="AB153" s="155">
        <f t="shared" si="39"/>
        <v>92.362705483703621</v>
      </c>
      <c r="AC153" s="4"/>
      <c r="AD153" s="4"/>
      <c r="AE153" s="4"/>
      <c r="AF153" s="4"/>
      <c r="AG153" s="4"/>
      <c r="AH153" s="4"/>
      <c r="AI153" s="4"/>
      <c r="AJ153" s="4"/>
      <c r="AK153" s="4"/>
      <c r="AY153" s="38"/>
      <c r="AZ153" s="38"/>
      <c r="BE153" s="4"/>
      <c r="BF153" s="4"/>
      <c r="BG153" s="91"/>
      <c r="BH153" s="17"/>
      <c r="BI153" s="8"/>
      <c r="BJ153" s="4"/>
      <c r="BK153" s="4"/>
      <c r="BL153" s="4"/>
      <c r="BM153" s="4"/>
      <c r="BN153" s="4"/>
      <c r="BO153" s="8"/>
      <c r="BP153" s="4"/>
    </row>
    <row r="154" spans="1:69" s="16" customFormat="1" ht="11.25" customHeight="1" x14ac:dyDescent="0.2">
      <c r="A154" s="25"/>
      <c r="B154" s="25"/>
      <c r="C154" s="25"/>
      <c r="D154" s="25"/>
      <c r="F154" s="5"/>
      <c r="G154" s="5"/>
      <c r="H154" s="136" t="str">
        <f t="shared" si="36"/>
        <v>Oljna ogrščica</v>
      </c>
      <c r="I154" s="153" t="str">
        <f>+I$78</f>
        <v>Stroški, zmanjšani za subvencije/kg</v>
      </c>
      <c r="J154" s="173" t="str">
        <f>+J$78</f>
        <v>EUR/kg</v>
      </c>
      <c r="K154" s="174">
        <f>+K153/K134</f>
        <v>0.31113901257332521</v>
      </c>
      <c r="L154" s="174">
        <f>+L153/L134</f>
        <v>0.33040323541636984</v>
      </c>
      <c r="M154" s="170">
        <f t="shared" si="42"/>
        <v>106.19151635268005</v>
      </c>
      <c r="N154" s="8"/>
      <c r="O154" s="174">
        <f>+O153/O134</f>
        <v>0.31018240010290105</v>
      </c>
      <c r="P154" s="174">
        <f>+P153/P134</f>
        <v>0.33040323541636984</v>
      </c>
      <c r="Q154" s="174">
        <f>+Q153/Q134</f>
        <v>0.35229214779335505</v>
      </c>
      <c r="R154" s="174">
        <f>+R153/R134</f>
        <v>0.37738615338897491</v>
      </c>
      <c r="S154" s="174">
        <f t="shared" ref="S154:U154" si="45">+S153/S134</f>
        <v>0.32364754965677373</v>
      </c>
      <c r="T154" s="174">
        <f t="shared" si="45"/>
        <v>0.3051693672362496</v>
      </c>
      <c r="U154" s="9" t="e">
        <f t="shared" si="45"/>
        <v>#DIV/0!</v>
      </c>
      <c r="W154" s="157">
        <f t="shared" si="39"/>
        <v>93.879952389695347</v>
      </c>
      <c r="X154" s="183">
        <f t="shared" si="39"/>
        <v>100</v>
      </c>
      <c r="Y154" s="183">
        <f t="shared" si="39"/>
        <v>106.62490860581346</v>
      </c>
      <c r="Z154" s="183">
        <f t="shared" si="39"/>
        <v>114.21987224592331</v>
      </c>
      <c r="AA154" s="183">
        <f t="shared" si="39"/>
        <v>97.955320942580144</v>
      </c>
      <c r="AB154" s="157">
        <f t="shared" si="39"/>
        <v>92.362705483703607</v>
      </c>
      <c r="AC154" s="4"/>
      <c r="AD154" s="4"/>
      <c r="AE154" s="4"/>
      <c r="AF154" s="4"/>
      <c r="AG154" s="4"/>
      <c r="AH154" s="4"/>
      <c r="AI154" s="4"/>
      <c r="AJ154" s="4"/>
      <c r="AK154" s="4"/>
      <c r="AL154" s="1"/>
      <c r="AM154" s="1"/>
      <c r="AY154" s="38"/>
      <c r="AZ154" s="38"/>
      <c r="BB154" s="5"/>
      <c r="BE154" s="15"/>
      <c r="BF154" s="15"/>
      <c r="BG154" s="91"/>
      <c r="BH154" s="18"/>
      <c r="BI154" s="14"/>
      <c r="BJ154" s="15"/>
      <c r="BK154" s="15"/>
      <c r="BL154" s="15"/>
      <c r="BM154" s="15"/>
      <c r="BN154" s="15"/>
      <c r="BO154" s="15"/>
      <c r="BP154" s="32"/>
      <c r="BQ154" s="5"/>
    </row>
    <row r="155" spans="1:69" s="16" customFormat="1" ht="11.25" customHeight="1" x14ac:dyDescent="0.2">
      <c r="A155" s="25" t="s">
        <v>30</v>
      </c>
      <c r="B155" s="25"/>
      <c r="C155" s="25"/>
      <c r="D155" s="25"/>
      <c r="F155" s="5"/>
      <c r="G155" s="5"/>
      <c r="H155" s="136" t="str">
        <f t="shared" si="36"/>
        <v>Oljna ogrščica</v>
      </c>
      <c r="I155" s="16" t="str">
        <f>+I$79</f>
        <v>Prodajna cena</v>
      </c>
      <c r="J155" s="175" t="str">
        <f>+J$79</f>
        <v>EUR/kg</v>
      </c>
      <c r="K155" s="176">
        <v>0.31900000000000001</v>
      </c>
      <c r="L155" s="176">
        <v>0.45200000000000001</v>
      </c>
      <c r="M155" s="164">
        <f t="shared" si="42"/>
        <v>141.69278996865205</v>
      </c>
      <c r="N155" s="8"/>
      <c r="O155" s="176">
        <v>0.45200000000000001</v>
      </c>
      <c r="P155" s="176">
        <v>0.45200000000000001</v>
      </c>
      <c r="Q155" s="176">
        <v>0.45200000000000001</v>
      </c>
      <c r="R155" s="176">
        <v>0.45200000000000001</v>
      </c>
      <c r="S155" s="176">
        <v>0.45200000000000001</v>
      </c>
      <c r="T155" s="176">
        <v>0.45200000000000001</v>
      </c>
      <c r="U155" s="9" t="e">
        <v>#N/A</v>
      </c>
      <c r="W155" s="73">
        <f t="shared" si="39"/>
        <v>100</v>
      </c>
      <c r="X155" s="184">
        <f t="shared" si="39"/>
        <v>100</v>
      </c>
      <c r="Y155" s="184">
        <f t="shared" si="39"/>
        <v>100</v>
      </c>
      <c r="Z155" s="184">
        <f t="shared" si="39"/>
        <v>100</v>
      </c>
      <c r="AA155" s="184">
        <f t="shared" si="39"/>
        <v>100</v>
      </c>
      <c r="AB155" s="73">
        <f t="shared" si="39"/>
        <v>100</v>
      </c>
      <c r="AC155" s="4"/>
      <c r="AD155" s="4"/>
      <c r="AE155" s="4"/>
      <c r="AF155" s="4"/>
      <c r="AG155" s="4"/>
      <c r="AH155" s="4"/>
      <c r="AI155" s="4"/>
      <c r="AJ155" s="4"/>
      <c r="AK155" s="4"/>
      <c r="AL155" s="1"/>
      <c r="AM155" s="1"/>
      <c r="AY155" s="38"/>
      <c r="AZ155" s="38"/>
      <c r="BB155" s="5"/>
      <c r="BE155" s="74"/>
      <c r="BF155" s="74"/>
      <c r="BG155" s="91"/>
      <c r="BH155" s="18"/>
      <c r="BI155" s="6"/>
      <c r="BJ155" s="15"/>
      <c r="BK155" s="74"/>
      <c r="BL155" s="74"/>
      <c r="BM155" s="74"/>
      <c r="BN155" s="74"/>
      <c r="BO155" s="74"/>
      <c r="BP155" s="32"/>
      <c r="BQ155" s="5"/>
    </row>
    <row r="156" spans="1:69" s="9" customFormat="1" ht="11.25" customHeight="1" x14ac:dyDescent="0.2">
      <c r="A156" s="25"/>
      <c r="B156" s="25"/>
      <c r="C156" s="25"/>
      <c r="D156" s="25"/>
      <c r="F156" s="5"/>
      <c r="G156" s="5"/>
      <c r="H156" s="136" t="str">
        <f t="shared" si="36"/>
        <v>Oljna ogrščica</v>
      </c>
      <c r="I156" s="9" t="str">
        <f>+I$80</f>
        <v>Vrednost proizvodnje skupaj</v>
      </c>
      <c r="J156" s="159" t="str">
        <f>+J$80</f>
        <v>EUR/ha</v>
      </c>
      <c r="K156" s="163">
        <f>+K155*K134+K150+K152</f>
        <v>1395.9583680919095</v>
      </c>
      <c r="L156" s="163">
        <f>+L155*L134+L150+L152</f>
        <v>1856.2771829483654</v>
      </c>
      <c r="M156" s="164">
        <f t="shared" si="42"/>
        <v>132.97511053181699</v>
      </c>
      <c r="N156" s="8"/>
      <c r="O156" s="163">
        <f>+O155*O134+O150+O152</f>
        <v>2082.4197553339741</v>
      </c>
      <c r="P156" s="163">
        <f>+P155*P134+P150+P152</f>
        <v>1856.2771829483654</v>
      </c>
      <c r="Q156" s="163">
        <f>+Q155*Q134+Q150+Q152</f>
        <v>1629.3038456701231</v>
      </c>
      <c r="R156" s="163">
        <f>+R155*R134+R150+R152</f>
        <v>1402.0040937369397</v>
      </c>
      <c r="S156" s="163">
        <f t="shared" ref="S156:U156" si="46">+S155*S134+S150+S152</f>
        <v>1625.5426104982164</v>
      </c>
      <c r="T156" s="163">
        <f t="shared" si="46"/>
        <v>1852.3849866277528</v>
      </c>
      <c r="U156" s="1" t="e">
        <f t="shared" si="46"/>
        <v>#N/A</v>
      </c>
      <c r="W156" s="8">
        <f t="shared" si="39"/>
        <v>112.18258644037317</v>
      </c>
      <c r="X156" s="163">
        <f t="shared" si="39"/>
        <v>100</v>
      </c>
      <c r="Y156" s="163">
        <f t="shared" si="39"/>
        <v>87.772659203959208</v>
      </c>
      <c r="Z156" s="163">
        <f t="shared" si="39"/>
        <v>75.527734037548527</v>
      </c>
      <c r="AA156" s="163">
        <f t="shared" si="39"/>
        <v>87.570036707359179</v>
      </c>
      <c r="AB156" s="8">
        <f t="shared" si="39"/>
        <v>99.790322460655872</v>
      </c>
      <c r="AC156" s="8"/>
      <c r="AD156" s="8"/>
      <c r="AE156" s="8"/>
      <c r="AF156" s="8"/>
      <c r="AG156" s="8"/>
      <c r="AH156" s="8"/>
      <c r="AI156" s="8"/>
      <c r="AJ156" s="8"/>
      <c r="AK156" s="8"/>
      <c r="AL156" s="1"/>
      <c r="AM156" s="1"/>
      <c r="AY156" s="38"/>
      <c r="AZ156" s="38"/>
      <c r="BB156" s="5"/>
      <c r="BE156" s="8"/>
      <c r="BF156" s="8"/>
      <c r="BG156" s="91"/>
      <c r="BH156" s="18"/>
      <c r="BI156" s="8"/>
      <c r="BJ156" s="8"/>
      <c r="BK156" s="8"/>
      <c r="BL156" s="8"/>
      <c r="BM156" s="8"/>
      <c r="BN156" s="8"/>
      <c r="BO156" s="8"/>
      <c r="BP156" s="8"/>
      <c r="BQ156" s="5"/>
    </row>
    <row r="157" spans="1:69" ht="11.25" customHeight="1" x14ac:dyDescent="0.25">
      <c r="H157" s="136" t="str">
        <f t="shared" si="36"/>
        <v>Oljna ogrščica</v>
      </c>
      <c r="I157" s="1" t="str">
        <f>+I$81</f>
        <v xml:space="preserve">  Od tega interna realizacija</v>
      </c>
      <c r="J157" s="162" t="str">
        <f>+J$81</f>
        <v>EUR/ha</v>
      </c>
      <c r="K157" s="177">
        <f>+K156-K159</f>
        <v>0</v>
      </c>
      <c r="L157" s="177">
        <f>+L156-L159</f>
        <v>0</v>
      </c>
      <c r="M157" s="164"/>
      <c r="N157" s="8"/>
      <c r="O157" s="177">
        <f>+O156-O159</f>
        <v>0</v>
      </c>
      <c r="P157" s="177">
        <f>+P156-P159</f>
        <v>0</v>
      </c>
      <c r="Q157" s="177">
        <f>+Q156-Q159</f>
        <v>0</v>
      </c>
      <c r="R157" s="177">
        <f>+R156-R159</f>
        <v>0</v>
      </c>
      <c r="S157" s="177">
        <f t="shared" ref="S157:U157" si="47">+S156-S159</f>
        <v>0</v>
      </c>
      <c r="T157" s="177">
        <f t="shared" si="47"/>
        <v>0</v>
      </c>
      <c r="U157" s="1" t="e">
        <f t="shared" si="47"/>
        <v>#N/A</v>
      </c>
      <c r="W157" s="4"/>
      <c r="X157" s="177"/>
      <c r="Y157" s="177"/>
      <c r="Z157" s="177"/>
      <c r="AA157" s="177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Y157" s="38"/>
      <c r="AZ157" s="38"/>
      <c r="BE157" s="4"/>
      <c r="BF157" s="4"/>
      <c r="BG157" s="91"/>
      <c r="BH157" s="18"/>
      <c r="BI157" s="4"/>
      <c r="BJ157" s="8"/>
      <c r="BK157" s="4"/>
      <c r="BL157" s="4"/>
      <c r="BM157" s="4"/>
      <c r="BN157" s="4"/>
      <c r="BO157" s="4"/>
      <c r="BP157" s="4"/>
    </row>
    <row r="158" spans="1:69" ht="11.25" customHeight="1" x14ac:dyDescent="0.25">
      <c r="H158" s="136" t="str">
        <f t="shared" si="36"/>
        <v>Oljna ogrščica</v>
      </c>
      <c r="I158" s="151" t="str">
        <f>+I$82</f>
        <v>OBRAČUN DOHODKA</v>
      </c>
      <c r="J158" s="165"/>
      <c r="K158" s="171"/>
      <c r="L158" s="171"/>
      <c r="M158" s="170"/>
      <c r="N158" s="8"/>
      <c r="O158" s="171"/>
      <c r="P158" s="171"/>
      <c r="Q158" s="171"/>
      <c r="R158" s="171"/>
      <c r="S158" s="171"/>
      <c r="T158" s="171"/>
      <c r="W158" s="156"/>
      <c r="X158" s="171"/>
      <c r="Y158" s="171"/>
      <c r="Z158" s="171"/>
      <c r="AA158" s="171"/>
      <c r="AB158" s="156"/>
      <c r="AC158" s="4"/>
      <c r="AD158" s="4"/>
      <c r="AE158" s="4"/>
      <c r="AF158" s="4"/>
      <c r="AG158" s="4"/>
      <c r="AH158" s="4"/>
      <c r="AI158" s="4"/>
      <c r="AJ158" s="4"/>
      <c r="AK158" s="4"/>
      <c r="AY158" s="38"/>
      <c r="AZ158" s="38"/>
      <c r="BC158" s="9"/>
      <c r="BE158" s="4"/>
      <c r="BF158" s="4"/>
      <c r="BG158" s="91"/>
      <c r="BH158" s="18"/>
      <c r="BI158" s="4"/>
      <c r="BJ158" s="8"/>
      <c r="BK158" s="4"/>
      <c r="BL158" s="4"/>
      <c r="BM158" s="4"/>
      <c r="BN158" s="4"/>
      <c r="BO158" s="4"/>
      <c r="BP158" s="4"/>
    </row>
    <row r="159" spans="1:69" ht="11.25" customHeight="1" x14ac:dyDescent="0.25">
      <c r="A159" s="25" t="s">
        <v>29</v>
      </c>
      <c r="H159" s="136" t="str">
        <f t="shared" si="36"/>
        <v>Oljna ogrščica</v>
      </c>
      <c r="I159" s="152" t="str">
        <f>+I$83</f>
        <v>Vrednost finalne proizvodnje skupaj</v>
      </c>
      <c r="J159" s="165" t="str">
        <f>+J$83</f>
        <v>EUR/ha</v>
      </c>
      <c r="K159" s="171">
        <v>1395.9583680919095</v>
      </c>
      <c r="L159" s="171">
        <v>1856.2771829483654</v>
      </c>
      <c r="M159" s="172">
        <f t="shared" ref="M159:M166" si="48">L159/K159*100</f>
        <v>132.97511053181699</v>
      </c>
      <c r="N159" s="8"/>
      <c r="O159" s="171">
        <v>2082.4197553339741</v>
      </c>
      <c r="P159" s="171">
        <v>1856.2771829483654</v>
      </c>
      <c r="Q159" s="171">
        <v>1629.3038456701231</v>
      </c>
      <c r="R159" s="171">
        <v>1402.0040937369397</v>
      </c>
      <c r="S159" s="171">
        <v>1625.5426104982164</v>
      </c>
      <c r="T159" s="171">
        <v>1852.3849866277528</v>
      </c>
      <c r="U159" s="1" t="e">
        <v>#N/A</v>
      </c>
      <c r="W159" s="156">
        <f t="shared" si="39"/>
        <v>112.18258644037317</v>
      </c>
      <c r="X159" s="171">
        <f t="shared" si="39"/>
        <v>100</v>
      </c>
      <c r="Y159" s="171">
        <f t="shared" si="39"/>
        <v>87.772659203959208</v>
      </c>
      <c r="Z159" s="171">
        <f t="shared" si="39"/>
        <v>75.527734037548527</v>
      </c>
      <c r="AA159" s="171">
        <f t="shared" si="39"/>
        <v>87.570036707359179</v>
      </c>
      <c r="AB159" s="156">
        <f t="shared" si="39"/>
        <v>99.790322460655872</v>
      </c>
      <c r="AC159" s="4"/>
      <c r="AD159" s="4"/>
      <c r="AE159" s="4"/>
      <c r="AF159" s="4"/>
      <c r="AG159" s="4"/>
      <c r="AH159" s="4"/>
      <c r="AI159" s="4"/>
      <c r="AJ159" s="4"/>
      <c r="AK159" s="4"/>
      <c r="AY159" s="38"/>
      <c r="AZ159" s="38"/>
      <c r="BE159" s="41"/>
      <c r="BF159" s="41"/>
      <c r="BG159" s="91"/>
      <c r="BH159" s="18"/>
      <c r="BI159" s="41"/>
      <c r="BJ159" s="4"/>
      <c r="BK159" s="41"/>
      <c r="BL159" s="41"/>
      <c r="BM159" s="41"/>
      <c r="BN159" s="41"/>
      <c r="BO159" s="41"/>
      <c r="BP159" s="4"/>
    </row>
    <row r="160" spans="1:69" ht="11.25" customHeight="1" x14ac:dyDescent="0.25">
      <c r="A160" s="25" t="s">
        <v>28</v>
      </c>
      <c r="H160" s="136" t="str">
        <f t="shared" si="36"/>
        <v>Oljna ogrščica</v>
      </c>
      <c r="I160" s="152" t="str">
        <f>+I$84</f>
        <v>Stroški zmanjšani za interno realizacijo</v>
      </c>
      <c r="J160" s="165" t="str">
        <f>+J$84</f>
        <v>EUR/ha</v>
      </c>
      <c r="K160" s="171">
        <v>1368.4449120985485</v>
      </c>
      <c r="L160" s="171">
        <v>1430.6885069056593</v>
      </c>
      <c r="M160" s="172">
        <f t="shared" si="48"/>
        <v>104.54849108333184</v>
      </c>
      <c r="N160" s="8"/>
      <c r="O160" s="171">
        <v>1515.1493557455783</v>
      </c>
      <c r="P160" s="171">
        <v>1430.6885069056593</v>
      </c>
      <c r="Q160" s="171">
        <v>1330.1802890501885</v>
      </c>
      <c r="R160" s="171">
        <v>1215.4694772093774</v>
      </c>
      <c r="S160" s="171">
        <v>1240.4852594685383</v>
      </c>
      <c r="T160" s="171">
        <v>1338.4777719546264</v>
      </c>
      <c r="U160" s="1" t="e">
        <v>#N/A</v>
      </c>
      <c r="W160" s="156">
        <f t="shared" si="39"/>
        <v>105.90351068260091</v>
      </c>
      <c r="X160" s="171">
        <f t="shared" si="39"/>
        <v>100</v>
      </c>
      <c r="Y160" s="171">
        <f t="shared" si="39"/>
        <v>92.974835726271877</v>
      </c>
      <c r="Z160" s="171">
        <f t="shared" si="39"/>
        <v>84.956961025585869</v>
      </c>
      <c r="AA160" s="171">
        <f t="shared" si="39"/>
        <v>86.705474565634205</v>
      </c>
      <c r="AB160" s="156">
        <f t="shared" si="39"/>
        <v>93.554800048651444</v>
      </c>
      <c r="AC160" s="4"/>
      <c r="AD160" s="4"/>
      <c r="AE160" s="4"/>
      <c r="AF160" s="4"/>
      <c r="AG160" s="4"/>
      <c r="AH160" s="4"/>
      <c r="AI160" s="4"/>
      <c r="AJ160" s="4"/>
      <c r="AK160" s="4"/>
      <c r="AY160" s="38"/>
      <c r="AZ160" s="38"/>
      <c r="BE160" s="7"/>
      <c r="BF160" s="7"/>
      <c r="BG160" s="91"/>
      <c r="BH160" s="18"/>
      <c r="BI160" s="7"/>
      <c r="BJ160" s="4"/>
      <c r="BK160" s="7"/>
      <c r="BL160" s="7"/>
      <c r="BM160" s="7"/>
      <c r="BN160" s="7"/>
      <c r="BO160" s="7"/>
      <c r="BP160" s="4"/>
    </row>
    <row r="161" spans="1:69" ht="11.25" customHeight="1" x14ac:dyDescent="0.25">
      <c r="A161" s="25" t="s">
        <v>27</v>
      </c>
      <c r="H161" s="136" t="str">
        <f t="shared" si="36"/>
        <v>Oljna ogrščica</v>
      </c>
      <c r="I161" s="152" t="str">
        <f>+I$85</f>
        <v xml:space="preserve">  Stroški kupljenega blaga in storitev</v>
      </c>
      <c r="J161" s="165" t="str">
        <f>+J$85</f>
        <v>EUR/ha</v>
      </c>
      <c r="K161" s="171">
        <v>1020.4445148139819</v>
      </c>
      <c r="L161" s="171">
        <v>1064.9628091648196</v>
      </c>
      <c r="M161" s="172">
        <f t="shared" si="48"/>
        <v>104.36263742952777</v>
      </c>
      <c r="N161" s="8"/>
      <c r="O161" s="171">
        <v>1145.9052008442411</v>
      </c>
      <c r="P161" s="171">
        <v>1064.9628091648196</v>
      </c>
      <c r="Q161" s="171">
        <v>978.82343748599772</v>
      </c>
      <c r="R161" s="171">
        <v>883.91560346568212</v>
      </c>
      <c r="S161" s="171">
        <v>948.54853912032581</v>
      </c>
      <c r="T161" s="171">
        <v>1033.882432766861</v>
      </c>
      <c r="U161" s="1" t="e">
        <v>#N/A</v>
      </c>
      <c r="W161" s="156">
        <f t="shared" si="39"/>
        <v>107.60048998733573</v>
      </c>
      <c r="X161" s="171">
        <f t="shared" si="39"/>
        <v>100</v>
      </c>
      <c r="Y161" s="171">
        <f t="shared" si="39"/>
        <v>91.911513628689505</v>
      </c>
      <c r="Z161" s="171">
        <f t="shared" si="39"/>
        <v>82.999668707574784</v>
      </c>
      <c r="AA161" s="171">
        <f t="shared" si="39"/>
        <v>89.068700893340122</v>
      </c>
      <c r="AB161" s="156">
        <f t="shared" si="39"/>
        <v>97.081552883303701</v>
      </c>
      <c r="AC161" s="4"/>
      <c r="AD161" s="4"/>
      <c r="AE161" s="4"/>
      <c r="AF161" s="4"/>
      <c r="AG161" s="4"/>
      <c r="AH161" s="4"/>
      <c r="AI161" s="4"/>
      <c r="AJ161" s="4"/>
      <c r="AK161" s="4"/>
      <c r="AY161" s="38"/>
      <c r="AZ161" s="38"/>
      <c r="BE161" s="7"/>
      <c r="BF161" s="7"/>
      <c r="BG161" s="91"/>
      <c r="BH161" s="18"/>
      <c r="BI161" s="7"/>
      <c r="BJ161" s="4"/>
      <c r="BK161" s="7"/>
      <c r="BL161" s="7"/>
      <c r="BM161" s="7"/>
      <c r="BN161" s="7"/>
      <c r="BO161" s="7"/>
      <c r="BP161" s="4"/>
    </row>
    <row r="162" spans="1:69" ht="11.25" customHeight="1" x14ac:dyDescent="0.25">
      <c r="A162" s="25" t="s">
        <v>26</v>
      </c>
      <c r="H162" s="136" t="str">
        <f t="shared" si="36"/>
        <v>Oljna ogrščica</v>
      </c>
      <c r="I162" s="152" t="str">
        <f>+I$86</f>
        <v xml:space="preserve">  Amortizacija</v>
      </c>
      <c r="J162" s="165" t="str">
        <f>+J$86</f>
        <v>EUR/ha</v>
      </c>
      <c r="K162" s="171">
        <v>106.31622945930415</v>
      </c>
      <c r="L162" s="171">
        <v>113.46271767443568</v>
      </c>
      <c r="M162" s="172">
        <f t="shared" si="48"/>
        <v>106.72191654225949</v>
      </c>
      <c r="N162" s="8"/>
      <c r="O162" s="171">
        <v>115.57018600939865</v>
      </c>
      <c r="P162" s="171">
        <v>113.46271767443568</v>
      </c>
      <c r="Q162" s="171">
        <v>108.29336156215227</v>
      </c>
      <c r="R162" s="171">
        <v>101.25001164748791</v>
      </c>
      <c r="S162" s="171">
        <v>87.306586740292914</v>
      </c>
      <c r="T162" s="171">
        <v>91.993269181502754</v>
      </c>
      <c r="U162" s="1" t="e">
        <v>#N/A</v>
      </c>
      <c r="W162" s="156">
        <f t="shared" si="39"/>
        <v>101.85741041476729</v>
      </c>
      <c r="X162" s="171">
        <f t="shared" si="39"/>
        <v>100</v>
      </c>
      <c r="Y162" s="171">
        <f t="shared" si="39"/>
        <v>95.444004675512801</v>
      </c>
      <c r="Z162" s="171">
        <f t="shared" si="39"/>
        <v>89.236370961966287</v>
      </c>
      <c r="AA162" s="171">
        <f t="shared" si="39"/>
        <v>76.947378425048939</v>
      </c>
      <c r="AB162" s="156">
        <f t="shared" si="39"/>
        <v>81.077970867455946</v>
      </c>
      <c r="AC162" s="4"/>
      <c r="AD162" s="4"/>
      <c r="AE162" s="4"/>
      <c r="AF162" s="4"/>
      <c r="AG162" s="4"/>
      <c r="AH162" s="4"/>
      <c r="AI162" s="4"/>
      <c r="AJ162" s="4"/>
      <c r="AK162" s="4"/>
      <c r="AY162" s="38"/>
      <c r="AZ162" s="38"/>
      <c r="BE162" s="41"/>
      <c r="BF162" s="41"/>
      <c r="BG162" s="91"/>
      <c r="BH162" s="18"/>
      <c r="BI162" s="41"/>
      <c r="BJ162" s="4"/>
      <c r="BK162" s="41"/>
      <c r="BL162" s="41"/>
      <c r="BM162" s="41"/>
      <c r="BN162" s="41"/>
      <c r="BO162" s="41"/>
      <c r="BP162" s="4"/>
    </row>
    <row r="163" spans="1:69" s="9" customFormat="1" ht="11.25" customHeight="1" x14ac:dyDescent="0.2">
      <c r="A163" s="25"/>
      <c r="B163" s="25"/>
      <c r="C163" s="25"/>
      <c r="D163" s="25"/>
      <c r="F163" s="5"/>
      <c r="G163" s="5"/>
      <c r="H163" s="136" t="str">
        <f t="shared" si="36"/>
        <v>Oljna ogrščica</v>
      </c>
      <c r="I163" s="151" t="str">
        <f>+I$87</f>
        <v xml:space="preserve">  Stroški domačega dela in kapitala</v>
      </c>
      <c r="J163" s="168" t="str">
        <f>+J$87</f>
        <v>EUR/ha</v>
      </c>
      <c r="K163" s="169">
        <f>+K160-K161-K162</f>
        <v>241.68416782526242</v>
      </c>
      <c r="L163" s="169">
        <f>+L160-L161-L162</f>
        <v>252.262980066404</v>
      </c>
      <c r="M163" s="170">
        <f t="shared" si="48"/>
        <v>104.37712256302616</v>
      </c>
      <c r="N163" s="8"/>
      <c r="O163" s="169">
        <f>+O160-O161-O162</f>
        <v>253.67396889193856</v>
      </c>
      <c r="P163" s="169">
        <f>+P160-P161-P162</f>
        <v>252.262980066404</v>
      </c>
      <c r="Q163" s="169">
        <f>+Q160-Q161-Q162</f>
        <v>243.06349000203858</v>
      </c>
      <c r="R163" s="169">
        <f>+R160-R161-R162</f>
        <v>230.30386209620735</v>
      </c>
      <c r="S163" s="169">
        <f t="shared" ref="S163:U163" si="49">+S160-S161-S162</f>
        <v>204.63013360791956</v>
      </c>
      <c r="T163" s="169">
        <f t="shared" si="49"/>
        <v>212.60207000626264</v>
      </c>
      <c r="U163" s="1" t="e">
        <f t="shared" si="49"/>
        <v>#N/A</v>
      </c>
      <c r="W163" s="155">
        <f t="shared" si="39"/>
        <v>100.55933249704859</v>
      </c>
      <c r="X163" s="169">
        <f t="shared" si="39"/>
        <v>100</v>
      </c>
      <c r="Y163" s="169">
        <f t="shared" si="39"/>
        <v>96.353214386849857</v>
      </c>
      <c r="Z163" s="169">
        <f t="shared" si="39"/>
        <v>91.295148434218817</v>
      </c>
      <c r="AA163" s="169">
        <f t="shared" si="39"/>
        <v>81.11778175063742</v>
      </c>
      <c r="AB163" s="155">
        <f t="shared" si="39"/>
        <v>84.277950712505927</v>
      </c>
      <c r="AC163" s="8"/>
      <c r="AD163" s="8"/>
      <c r="AE163" s="8"/>
      <c r="AF163" s="8"/>
      <c r="AG163" s="8"/>
      <c r="AH163" s="8"/>
      <c r="AI163" s="8"/>
      <c r="AJ163" s="8"/>
      <c r="AK163" s="8"/>
      <c r="AL163" s="1"/>
      <c r="AM163" s="1"/>
      <c r="AY163" s="38"/>
      <c r="AZ163" s="38"/>
      <c r="BB163" s="5"/>
      <c r="BE163" s="8"/>
      <c r="BF163" s="8"/>
      <c r="BG163" s="91"/>
      <c r="BH163" s="18"/>
      <c r="BI163" s="8"/>
      <c r="BJ163" s="8"/>
      <c r="BK163" s="8"/>
      <c r="BL163" s="8"/>
      <c r="BM163" s="8"/>
      <c r="BN163" s="8"/>
      <c r="BO163" s="8"/>
      <c r="BP163" s="8"/>
      <c r="BQ163" s="5"/>
    </row>
    <row r="164" spans="1:69" ht="11.25" customHeight="1" x14ac:dyDescent="0.25">
      <c r="H164" s="136" t="str">
        <f t="shared" si="36"/>
        <v>Oljna ogrščica</v>
      </c>
      <c r="I164" s="152" t="str">
        <f>+I$88</f>
        <v xml:space="preserve">Bruto dodana vrednost </v>
      </c>
      <c r="J164" s="165" t="str">
        <f>+J$88</f>
        <v>EUR/ha</v>
      </c>
      <c r="K164" s="171">
        <f>+K159-K161</f>
        <v>375.51385327792764</v>
      </c>
      <c r="L164" s="171">
        <f>+L159-L161</f>
        <v>791.31437378354576</v>
      </c>
      <c r="M164" s="172">
        <f t="shared" si="48"/>
        <v>210.72841038380369</v>
      </c>
      <c r="N164" s="8"/>
      <c r="O164" s="171">
        <f>+O159-O161</f>
        <v>936.51455448973297</v>
      </c>
      <c r="P164" s="171">
        <f>+P159-P161</f>
        <v>791.31437378354576</v>
      </c>
      <c r="Q164" s="171">
        <f>+Q159-Q161</f>
        <v>650.48040818412539</v>
      </c>
      <c r="R164" s="171">
        <f>+R159-R161</f>
        <v>518.08849027125757</v>
      </c>
      <c r="S164" s="171">
        <f t="shared" ref="S164:U164" si="50">+S159-S161</f>
        <v>676.99407137789058</v>
      </c>
      <c r="T164" s="171">
        <f t="shared" si="50"/>
        <v>818.50255386089179</v>
      </c>
      <c r="U164" s="1" t="e">
        <f t="shared" si="50"/>
        <v>#N/A</v>
      </c>
      <c r="W164" s="156">
        <f t="shared" si="39"/>
        <v>118.34924089801824</v>
      </c>
      <c r="X164" s="171">
        <f t="shared" si="39"/>
        <v>100</v>
      </c>
      <c r="Y164" s="171">
        <f t="shared" si="39"/>
        <v>82.202526547566066</v>
      </c>
      <c r="Z164" s="171">
        <f t="shared" si="39"/>
        <v>65.471891758277891</v>
      </c>
      <c r="AA164" s="171">
        <f t="shared" si="39"/>
        <v>85.55311186133892</v>
      </c>
      <c r="AB164" s="156">
        <f t="shared" si="39"/>
        <v>103.43582537839544</v>
      </c>
      <c r="AC164" s="4"/>
      <c r="AD164" s="4"/>
      <c r="AE164" s="4"/>
      <c r="AF164" s="4"/>
      <c r="AG164" s="4"/>
      <c r="AH164" s="4"/>
      <c r="AI164" s="4"/>
      <c r="AJ164" s="4"/>
      <c r="AK164" s="4"/>
      <c r="AY164" s="38"/>
      <c r="AZ164" s="38"/>
      <c r="BE164" s="4"/>
      <c r="BF164" s="4"/>
      <c r="BG164" s="91"/>
      <c r="BH164" s="18"/>
      <c r="BI164" s="4"/>
      <c r="BJ164" s="4"/>
      <c r="BK164" s="4"/>
      <c r="BL164" s="4"/>
      <c r="BM164" s="4"/>
      <c r="BN164" s="4"/>
      <c r="BO164" s="4"/>
      <c r="BP164" s="4"/>
    </row>
    <row r="165" spans="1:69" s="9" customFormat="1" ht="11.25" customHeight="1" x14ac:dyDescent="0.2">
      <c r="A165" s="25"/>
      <c r="B165" s="25"/>
      <c r="C165" s="25"/>
      <c r="D165" s="25"/>
      <c r="F165" s="5"/>
      <c r="G165" s="5"/>
      <c r="H165" s="136" t="str">
        <f t="shared" si="36"/>
        <v>Oljna ogrščica</v>
      </c>
      <c r="I165" s="151" t="str">
        <f>+I$89</f>
        <v>Neto dodana vrednost</v>
      </c>
      <c r="J165" s="168" t="str">
        <f>+J$89</f>
        <v>EUR/ha</v>
      </c>
      <c r="K165" s="169">
        <f>+K164-K162</f>
        <v>269.19762381862347</v>
      </c>
      <c r="L165" s="169">
        <f>+L164-L162</f>
        <v>677.85165610911008</v>
      </c>
      <c r="M165" s="170">
        <f t="shared" si="48"/>
        <v>251.80447230315238</v>
      </c>
      <c r="N165" s="8"/>
      <c r="O165" s="169">
        <f>+O164-O162</f>
        <v>820.94436848033433</v>
      </c>
      <c r="P165" s="169">
        <f>+P164-P162</f>
        <v>677.85165610911008</v>
      </c>
      <c r="Q165" s="169">
        <f>+Q164-Q162</f>
        <v>542.18704662197308</v>
      </c>
      <c r="R165" s="169">
        <f>+R164-R162</f>
        <v>416.83847862376967</v>
      </c>
      <c r="S165" s="169">
        <f t="shared" ref="S165:U165" si="51">+S164-S162</f>
        <v>589.68748463759766</v>
      </c>
      <c r="T165" s="169">
        <f t="shared" si="51"/>
        <v>726.509284679389</v>
      </c>
      <c r="U165" s="1" t="e">
        <f t="shared" si="51"/>
        <v>#N/A</v>
      </c>
      <c r="W165" s="155">
        <f t="shared" si="39"/>
        <v>121.10973855143779</v>
      </c>
      <c r="X165" s="169">
        <f t="shared" si="39"/>
        <v>100</v>
      </c>
      <c r="Y165" s="169">
        <f t="shared" si="39"/>
        <v>79.986091608028786</v>
      </c>
      <c r="Z165" s="169">
        <f t="shared" si="39"/>
        <v>61.494056238858477</v>
      </c>
      <c r="AA165" s="169">
        <f t="shared" si="39"/>
        <v>86.993589131643105</v>
      </c>
      <c r="AB165" s="155">
        <f t="shared" si="39"/>
        <v>107.17821194825655</v>
      </c>
      <c r="AC165" s="8"/>
      <c r="AD165" s="8"/>
      <c r="AE165" s="8"/>
      <c r="AF165" s="8"/>
      <c r="AG165" s="8"/>
      <c r="AH165" s="8"/>
      <c r="AI165" s="8"/>
      <c r="AJ165" s="8"/>
      <c r="AK165" s="8"/>
      <c r="AL165" s="1"/>
      <c r="AM165" s="1"/>
      <c r="AY165" s="38"/>
      <c r="AZ165" s="38"/>
      <c r="BB165" s="5"/>
      <c r="BE165" s="8"/>
      <c r="BF165" s="8"/>
      <c r="BG165" s="91"/>
      <c r="BH165" s="18"/>
      <c r="BI165" s="8"/>
      <c r="BJ165" s="8"/>
      <c r="BK165" s="8"/>
      <c r="BL165" s="8"/>
      <c r="BM165" s="8"/>
      <c r="BN165" s="8"/>
      <c r="BO165" s="8"/>
      <c r="BP165" s="8"/>
      <c r="BQ165" s="5"/>
    </row>
    <row r="166" spans="1:69" ht="12" customHeight="1" x14ac:dyDescent="0.25">
      <c r="A166" s="25" t="s">
        <v>25</v>
      </c>
      <c r="B166" s="25" t="s">
        <v>24</v>
      </c>
      <c r="H166" s="136" t="str">
        <f t="shared" si="36"/>
        <v>Oljna ogrščica</v>
      </c>
      <c r="I166" s="152" t="str">
        <f>+I$90</f>
        <v>Neto dodana vrednost/uro</v>
      </c>
      <c r="J166" s="167" t="str">
        <f>+J$90</f>
        <v>EUR/uro</v>
      </c>
      <c r="K166" s="171">
        <v>18.523140210279767</v>
      </c>
      <c r="L166" s="171">
        <v>46.571586399839589</v>
      </c>
      <c r="M166" s="172">
        <f t="shared" si="48"/>
        <v>251.42381837607539</v>
      </c>
      <c r="N166" s="8"/>
      <c r="O166" s="171">
        <v>56.017005302830846</v>
      </c>
      <c r="P166" s="171">
        <v>46.571586399839589</v>
      </c>
      <c r="Q166" s="171">
        <v>39.088295907999182</v>
      </c>
      <c r="R166" s="171">
        <v>32.198915829441155</v>
      </c>
      <c r="S166" s="171">
        <v>52.862072175631695</v>
      </c>
      <c r="T166" s="171">
        <v>61.84443145688104</v>
      </c>
      <c r="U166" s="1" t="e">
        <v>#N/A</v>
      </c>
      <c r="W166" s="156">
        <f t="shared" si="39"/>
        <v>120.28150559849469</v>
      </c>
      <c r="X166" s="171">
        <f t="shared" si="39"/>
        <v>100</v>
      </c>
      <c r="Y166" s="171">
        <f t="shared" si="39"/>
        <v>83.931639288400575</v>
      </c>
      <c r="Z166" s="171">
        <f t="shared" si="39"/>
        <v>69.138542013574309</v>
      </c>
      <c r="AA166" s="171">
        <f t="shared" si="39"/>
        <v>113.50713227113469</v>
      </c>
      <c r="AB166" s="156">
        <f t="shared" si="39"/>
        <v>132.79434143796755</v>
      </c>
      <c r="AC166" s="4"/>
      <c r="AD166" s="4"/>
      <c r="AE166" s="339" t="s">
        <v>232</v>
      </c>
      <c r="AF166" s="340"/>
      <c r="AG166" s="340"/>
      <c r="AH166" s="340"/>
      <c r="AI166" s="340"/>
      <c r="AJ166" s="340"/>
      <c r="AK166" s="340"/>
      <c r="AL166" s="340"/>
      <c r="AM166" s="340"/>
      <c r="AY166" s="38"/>
      <c r="AZ166" s="38"/>
      <c r="BD166" s="19"/>
      <c r="BE166" s="41"/>
      <c r="BF166" s="41"/>
      <c r="BG166" s="91"/>
      <c r="BH166" s="18"/>
      <c r="BI166" s="41"/>
      <c r="BJ166" s="4"/>
      <c r="BK166" s="41"/>
      <c r="BL166" s="41"/>
      <c r="BM166" s="41"/>
      <c r="BN166" s="41"/>
      <c r="BO166" s="41"/>
      <c r="BP166" s="4"/>
    </row>
    <row r="167" spans="1:69" ht="12" customHeight="1" x14ac:dyDescent="0.25">
      <c r="A167" s="37" t="s">
        <v>67</v>
      </c>
      <c r="H167" s="136" t="str">
        <f t="shared" si="36"/>
        <v>Oljna ogrščica</v>
      </c>
      <c r="J167" s="19"/>
      <c r="K167" s="35">
        <v>1.9264222843044521E-2</v>
      </c>
      <c r="L167" s="35">
        <v>0</v>
      </c>
      <c r="M167" s="36"/>
      <c r="N167" s="36"/>
      <c r="O167" s="35">
        <v>0</v>
      </c>
      <c r="P167" s="35">
        <v>0</v>
      </c>
      <c r="Q167" s="35">
        <v>0</v>
      </c>
      <c r="R167" s="35">
        <v>0</v>
      </c>
      <c r="S167" s="35"/>
      <c r="T167" s="35"/>
      <c r="U167" s="35"/>
      <c r="W167" s="4"/>
      <c r="X167" s="4"/>
      <c r="Y167" s="4"/>
      <c r="Z167" s="4"/>
      <c r="AA167" s="4"/>
      <c r="AB167" s="4"/>
      <c r="AC167" s="4"/>
      <c r="AD167" s="4"/>
      <c r="AE167" s="192" t="str">
        <f>AF$10&amp;""&amp;$L$56</f>
        <v>prva ocena letine 2021</v>
      </c>
      <c r="BD167" s="19"/>
      <c r="BE167" s="35"/>
      <c r="BF167" s="35"/>
      <c r="BG167" s="91"/>
      <c r="BH167" s="35"/>
      <c r="BI167" s="36"/>
      <c r="BJ167" s="36"/>
      <c r="BK167" s="35"/>
      <c r="BL167" s="35"/>
      <c r="BM167" s="35"/>
      <c r="BN167" s="35"/>
      <c r="BO167" s="35"/>
      <c r="BP167" s="4"/>
    </row>
    <row r="168" spans="1:69" s="5" customFormat="1" ht="10.199999999999999" x14ac:dyDescent="0.2">
      <c r="A168" s="25"/>
      <c r="B168" s="25"/>
      <c r="C168" s="25"/>
      <c r="D168" s="25"/>
      <c r="F168" s="29"/>
      <c r="G168" s="29"/>
      <c r="H168" s="136" t="e">
        <f>+I170</f>
        <v>#REF!</v>
      </c>
      <c r="I168" s="141" t="s">
        <v>148</v>
      </c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140"/>
      <c r="X168" s="140"/>
      <c r="Y168" s="140"/>
      <c r="Z168" s="140"/>
      <c r="AA168" s="140"/>
      <c r="AB168" s="140"/>
      <c r="AC168" s="140"/>
      <c r="AD168" s="140"/>
      <c r="AE168" s="143"/>
      <c r="AF168" s="143"/>
      <c r="AG168" s="143"/>
      <c r="AH168" s="143"/>
      <c r="AI168" s="143"/>
      <c r="AJ168" s="143"/>
      <c r="AK168" s="143"/>
      <c r="AL168" s="143"/>
      <c r="AM168" s="143"/>
      <c r="AN168" s="1"/>
      <c r="AO168" s="211"/>
      <c r="AP168" s="1"/>
      <c r="AQ168" s="1"/>
      <c r="AR168" s="1"/>
      <c r="AS168" s="1"/>
      <c r="AT168" s="1"/>
      <c r="AU168" s="1"/>
      <c r="BC168" s="13"/>
      <c r="BD168" s="27"/>
      <c r="BE168" s="29"/>
      <c r="BF168" s="29"/>
      <c r="BG168" s="91"/>
      <c r="BH168" s="28"/>
      <c r="BI168" s="27"/>
      <c r="BJ168" s="29"/>
      <c r="BK168" s="29"/>
      <c r="BL168" s="29"/>
      <c r="BM168" s="29"/>
      <c r="BN168" s="29"/>
      <c r="BO168" s="27"/>
      <c r="BP168" s="27"/>
    </row>
    <row r="169" spans="1:69" s="5" customFormat="1" ht="10.199999999999999" x14ac:dyDescent="0.2">
      <c r="A169" s="25"/>
      <c r="B169" s="25"/>
      <c r="C169" s="25"/>
      <c r="D169" s="25"/>
      <c r="F169" s="68"/>
      <c r="G169" s="68"/>
      <c r="H169" s="136" t="e">
        <f>+H168</f>
        <v>#REF!</v>
      </c>
      <c r="I169" s="141" t="s">
        <v>149</v>
      </c>
      <c r="J169" s="140"/>
      <c r="K169" s="140" t="e">
        <f>+F170</f>
        <v>#REF!</v>
      </c>
      <c r="L169" s="140" t="e">
        <f>+K169</f>
        <v>#REF!</v>
      </c>
      <c r="M169" s="140"/>
      <c r="N169" s="140"/>
      <c r="O169" s="143" t="s">
        <v>152</v>
      </c>
      <c r="P169" s="143" t="s">
        <v>153</v>
      </c>
      <c r="Q169" s="143" t="s">
        <v>151</v>
      </c>
      <c r="R169" s="143" t="s">
        <v>154</v>
      </c>
      <c r="S169" s="143" t="s">
        <v>197</v>
      </c>
      <c r="T169" s="143" t="s">
        <v>198</v>
      </c>
      <c r="U169" s="140"/>
      <c r="V169" s="140"/>
      <c r="W169" s="140"/>
      <c r="X169" s="140"/>
      <c r="Y169" s="140"/>
      <c r="Z169" s="140"/>
      <c r="AA169" s="140"/>
      <c r="AB169" s="140"/>
      <c r="AC169" s="140"/>
      <c r="AD169" s="140"/>
      <c r="AE169" s="143"/>
      <c r="AF169" s="143"/>
      <c r="AG169" s="143"/>
      <c r="AH169" s="143"/>
      <c r="AI169" s="143"/>
      <c r="AJ169" s="143"/>
      <c r="AK169" s="143"/>
      <c r="AL169" s="143"/>
      <c r="AM169" s="143"/>
      <c r="AN169" s="1"/>
      <c r="AO169" s="1"/>
      <c r="AP169" s="1"/>
      <c r="AQ169" s="1"/>
      <c r="AR169" s="1"/>
      <c r="AS169" s="1"/>
      <c r="AT169" s="1"/>
      <c r="AU169" s="1"/>
      <c r="BC169" s="13"/>
      <c r="BD169" s="29"/>
      <c r="BE169" s="12"/>
      <c r="BF169" s="12"/>
      <c r="BG169" s="91"/>
      <c r="BH169" s="68"/>
      <c r="BI169" s="68"/>
      <c r="BJ169" s="68"/>
      <c r="BK169" s="12"/>
      <c r="BL169" s="12"/>
      <c r="BM169" s="12"/>
      <c r="BN169" s="12"/>
      <c r="BO169" s="12"/>
      <c r="BP169" s="68"/>
    </row>
    <row r="170" spans="1:69" s="5" customFormat="1" x14ac:dyDescent="0.25">
      <c r="A170" s="25"/>
      <c r="B170" s="25"/>
      <c r="C170" s="25"/>
      <c r="D170" s="25"/>
      <c r="F170" s="86" t="e">
        <f>#REF!</f>
        <v>#REF!</v>
      </c>
      <c r="G170" s="86"/>
      <c r="H170" s="136" t="e">
        <f>+H169</f>
        <v>#REF!</v>
      </c>
      <c r="I170" s="149" t="e">
        <v>#REF!</v>
      </c>
      <c r="J170" s="158">
        <f>+J$56</f>
        <v>0</v>
      </c>
      <c r="K170" s="185">
        <f>K$52</f>
        <v>2020</v>
      </c>
      <c r="L170" s="185">
        <f>+L$56</f>
        <v>2021</v>
      </c>
      <c r="M170" s="341" t="str">
        <f>"Indeks "&amp;L170&amp;"/"&amp;$K170</f>
        <v>Indeks 2021/2020</v>
      </c>
      <c r="N170" s="186"/>
      <c r="O170" s="179"/>
      <c r="P170" s="179"/>
      <c r="Q170" s="179" t="str">
        <f>+L170&amp;" "&amp;L$51</f>
        <v>2021 (prva ocena)</v>
      </c>
      <c r="R170" s="179"/>
      <c r="S170" s="179"/>
      <c r="T170" s="179"/>
      <c r="U170" s="142"/>
      <c r="V170" s="142"/>
      <c r="W170" s="179"/>
      <c r="X170" s="179"/>
      <c r="Y170" s="179" t="s">
        <v>160</v>
      </c>
      <c r="Z170" s="179"/>
      <c r="AA170" s="179"/>
      <c r="AB170" s="179"/>
      <c r="AC170" s="66"/>
      <c r="AD170" s="66"/>
      <c r="AE170" s="66"/>
      <c r="AF170" s="66"/>
      <c r="AG170" s="66"/>
      <c r="AH170" s="66"/>
      <c r="AI170" s="66"/>
      <c r="AJ170" s="66"/>
      <c r="AK170" s="66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BC170" s="103"/>
      <c r="BD170" s="1"/>
      <c r="BE170" s="66"/>
      <c r="BF170" s="66"/>
      <c r="BG170" s="91"/>
      <c r="BH170" s="34"/>
      <c r="BI170" s="67"/>
      <c r="BJ170" s="34"/>
      <c r="BK170" s="66"/>
      <c r="BL170" s="66"/>
      <c r="BM170" s="66"/>
      <c r="BN170" s="66"/>
      <c r="BO170" s="66"/>
      <c r="BP170" s="66"/>
    </row>
    <row r="171" spans="1:69" s="5" customFormat="1" x14ac:dyDescent="0.25">
      <c r="A171" s="25"/>
      <c r="B171" s="25"/>
      <c r="C171" s="25"/>
      <c r="D171" s="25"/>
      <c r="G171" s="86"/>
      <c r="H171" s="136" t="e">
        <f>+H170</f>
        <v>#REF!</v>
      </c>
      <c r="I171" s="150" t="s">
        <v>84</v>
      </c>
      <c r="J171" s="158"/>
      <c r="K171" s="185"/>
      <c r="L171" s="330" t="str">
        <f>IF(ISBLANK(L$51),"",L$51)</f>
        <v>(prva ocena)</v>
      </c>
      <c r="M171" s="342"/>
      <c r="N171" s="186"/>
      <c r="O171" s="187" t="s">
        <v>83</v>
      </c>
      <c r="P171" s="185" t="s">
        <v>82</v>
      </c>
      <c r="Q171" s="214" t="s">
        <v>81</v>
      </c>
      <c r="R171" s="185" t="s">
        <v>80</v>
      </c>
      <c r="S171" s="185" t="s">
        <v>79</v>
      </c>
      <c r="T171" s="205" t="s">
        <v>78</v>
      </c>
      <c r="U171" s="191"/>
      <c r="V171" s="191"/>
      <c r="W171" s="188" t="str">
        <f>+O171</f>
        <v>M 1</v>
      </c>
      <c r="X171" s="185" t="str">
        <f t="shared" ref="X171:AB171" si="52">+P171</f>
        <v>M 2</v>
      </c>
      <c r="Y171" s="214" t="str">
        <f t="shared" si="52"/>
        <v>M 3</v>
      </c>
      <c r="Z171" s="185" t="str">
        <f t="shared" si="52"/>
        <v>M 4</v>
      </c>
      <c r="AA171" s="185" t="str">
        <f t="shared" si="52"/>
        <v>M 5</v>
      </c>
      <c r="AB171" s="188" t="str">
        <f t="shared" si="52"/>
        <v>M 6</v>
      </c>
      <c r="AC171" s="66"/>
      <c r="AD171" s="66"/>
      <c r="AE171" s="66"/>
      <c r="AF171" s="66"/>
      <c r="AG171" s="66"/>
      <c r="AH171" s="66"/>
      <c r="AI171" s="66"/>
      <c r="AJ171" s="66"/>
      <c r="AK171" s="66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BC171" s="9"/>
      <c r="BD171" s="9"/>
      <c r="BE171" s="66"/>
      <c r="BF171" s="66"/>
      <c r="BG171" s="91"/>
      <c r="BH171" s="34"/>
      <c r="BI171" s="66"/>
      <c r="BJ171" s="66"/>
      <c r="BK171" s="66"/>
      <c r="BL171" s="66"/>
      <c r="BM171" s="66"/>
      <c r="BN171" s="66"/>
      <c r="BO171" s="66"/>
      <c r="BP171" s="66"/>
    </row>
    <row r="172" spans="1:69" s="5" customFormat="1" x14ac:dyDescent="0.25">
      <c r="A172" s="25" t="s">
        <v>22</v>
      </c>
      <c r="B172" s="25"/>
      <c r="C172" s="25"/>
      <c r="D172" s="25"/>
      <c r="G172" s="86"/>
      <c r="H172" s="136" t="e">
        <f>+H171</f>
        <v>#REF!</v>
      </c>
      <c r="I172" s="9" t="s">
        <v>21</v>
      </c>
      <c r="J172" s="159" t="s">
        <v>20</v>
      </c>
      <c r="K172" s="160" t="e">
        <v>#REF!</v>
      </c>
      <c r="L172" s="160" t="e">
        <v>#REF!</v>
      </c>
      <c r="M172" s="160"/>
      <c r="N172" s="78"/>
      <c r="O172" s="178">
        <v>12000</v>
      </c>
      <c r="P172" s="178">
        <v>11000</v>
      </c>
      <c r="Q172" s="178">
        <v>10000</v>
      </c>
      <c r="R172" s="178">
        <v>9000</v>
      </c>
      <c r="S172" s="178">
        <v>8000</v>
      </c>
      <c r="T172" s="178">
        <v>10000</v>
      </c>
      <c r="U172" s="2"/>
      <c r="V172" s="2"/>
      <c r="W172" s="62">
        <f>O172/$Q172*100</f>
        <v>120</v>
      </c>
      <c r="X172" s="180">
        <f t="shared" ref="X172:AB172" si="53">P172/$Q172*100</f>
        <v>110.00000000000001</v>
      </c>
      <c r="Y172" s="180">
        <f t="shared" si="53"/>
        <v>100</v>
      </c>
      <c r="Z172" s="180">
        <f t="shared" si="53"/>
        <v>90</v>
      </c>
      <c r="AA172" s="180">
        <f t="shared" si="53"/>
        <v>80</v>
      </c>
      <c r="AB172" s="62">
        <f t="shared" si="53"/>
        <v>100</v>
      </c>
      <c r="AC172" s="82"/>
      <c r="AD172" s="82"/>
      <c r="AE172" s="82"/>
      <c r="AF172" s="82"/>
      <c r="AG172" s="82"/>
      <c r="AH172" s="82"/>
      <c r="AI172" s="82"/>
      <c r="AJ172" s="82"/>
      <c r="AK172" s="82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BC172" s="9"/>
      <c r="BD172" s="9"/>
      <c r="BE172" s="11"/>
      <c r="BF172" s="11"/>
      <c r="BG172" s="91"/>
      <c r="BH172" s="80"/>
      <c r="BI172" s="78"/>
      <c r="BJ172" s="78"/>
      <c r="BK172" s="11"/>
      <c r="BL172" s="11"/>
      <c r="BM172" s="11"/>
      <c r="BN172" s="11"/>
      <c r="BO172" s="11"/>
      <c r="BP172" s="66"/>
    </row>
    <row r="173" spans="1:69" s="5" customFormat="1" ht="6" customHeight="1" x14ac:dyDescent="0.25">
      <c r="A173" s="25"/>
      <c r="B173" s="25"/>
      <c r="C173" s="25"/>
      <c r="D173" s="25"/>
      <c r="G173" s="86"/>
      <c r="H173" s="136" t="e">
        <f t="shared" ref="H173:H205" si="54">+H172</f>
        <v>#REF!</v>
      </c>
      <c r="I173" s="9"/>
      <c r="J173" s="159"/>
      <c r="K173" s="161"/>
      <c r="L173" s="161"/>
      <c r="M173" s="160"/>
      <c r="N173" s="78"/>
      <c r="O173" s="161"/>
      <c r="P173" s="161"/>
      <c r="Q173" s="161"/>
      <c r="R173" s="161"/>
      <c r="S173" s="161"/>
      <c r="T173" s="161"/>
      <c r="U173" s="1"/>
      <c r="V173" s="1"/>
      <c r="W173" s="82"/>
      <c r="X173" s="181"/>
      <c r="Y173" s="181"/>
      <c r="Z173" s="181"/>
      <c r="AA173" s="181"/>
      <c r="AB173" s="82"/>
      <c r="AC173" s="82"/>
      <c r="AD173" s="82"/>
      <c r="AE173" s="82"/>
      <c r="AF173" s="82"/>
      <c r="AG173" s="82"/>
      <c r="AH173" s="82"/>
      <c r="AI173" s="82"/>
      <c r="AJ173" s="82"/>
      <c r="AK173" s="82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BC173" s="9"/>
      <c r="BD173" s="9"/>
      <c r="BE173" s="11"/>
      <c r="BF173" s="11"/>
      <c r="BG173" s="91"/>
      <c r="BH173" s="80"/>
      <c r="BI173" s="78"/>
      <c r="BJ173" s="78"/>
      <c r="BK173" s="11"/>
      <c r="BL173" s="11"/>
      <c r="BM173" s="11"/>
      <c r="BN173" s="11"/>
      <c r="BO173" s="11"/>
      <c r="BP173" s="66"/>
    </row>
    <row r="174" spans="1:69" s="5" customFormat="1" ht="6" customHeight="1" x14ac:dyDescent="0.25">
      <c r="A174" s="25"/>
      <c r="B174" s="25"/>
      <c r="C174" s="25"/>
      <c r="D174" s="25"/>
      <c r="G174" s="86"/>
      <c r="H174" s="136" t="e">
        <f t="shared" si="54"/>
        <v>#REF!</v>
      </c>
      <c r="I174" s="9"/>
      <c r="J174" s="162"/>
      <c r="K174" s="161"/>
      <c r="L174" s="161"/>
      <c r="M174" s="161"/>
      <c r="N174" s="137"/>
      <c r="O174" s="161"/>
      <c r="P174" s="161"/>
      <c r="Q174" s="161"/>
      <c r="R174" s="161"/>
      <c r="S174" s="161"/>
      <c r="T174" s="161"/>
      <c r="U174" s="1"/>
      <c r="V174" s="1"/>
      <c r="W174" s="84"/>
      <c r="X174" s="182"/>
      <c r="Y174" s="182"/>
      <c r="Z174" s="182"/>
      <c r="AA174" s="182"/>
      <c r="AB174" s="84"/>
      <c r="AC174" s="82"/>
      <c r="AD174" s="82"/>
      <c r="AE174" s="82"/>
      <c r="AF174" s="82"/>
      <c r="AG174" s="82"/>
      <c r="AH174" s="82"/>
      <c r="AI174" s="82"/>
      <c r="AJ174" s="82"/>
      <c r="AK174" s="82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BC174" s="9"/>
      <c r="BD174" s="1"/>
      <c r="BE174" s="78"/>
      <c r="BF174" s="78"/>
      <c r="BG174" s="91"/>
      <c r="BH174" s="80"/>
      <c r="BI174" s="78"/>
      <c r="BJ174" s="78"/>
      <c r="BK174" s="78"/>
      <c r="BL174" s="78"/>
      <c r="BM174" s="78"/>
      <c r="BN174" s="78"/>
      <c r="BO174" s="78"/>
      <c r="BP174" s="66"/>
    </row>
    <row r="175" spans="1:69" s="5" customFormat="1" ht="11.25" customHeight="1" x14ac:dyDescent="0.25">
      <c r="A175" s="25" t="s">
        <v>91</v>
      </c>
      <c r="B175" s="25"/>
      <c r="C175" s="25"/>
      <c r="D175" s="25"/>
      <c r="G175" s="86"/>
      <c r="H175" s="136" t="e">
        <f t="shared" si="54"/>
        <v>#REF!</v>
      </c>
      <c r="I175" s="9" t="s">
        <v>90</v>
      </c>
      <c r="J175" s="159" t="s">
        <v>89</v>
      </c>
      <c r="K175" s="163">
        <v>1</v>
      </c>
      <c r="L175" s="163">
        <v>1</v>
      </c>
      <c r="M175" s="164"/>
      <c r="N175" s="8"/>
      <c r="O175" s="163">
        <v>1</v>
      </c>
      <c r="P175" s="163">
        <v>1</v>
      </c>
      <c r="Q175" s="163">
        <v>1</v>
      </c>
      <c r="R175" s="163">
        <v>1</v>
      </c>
      <c r="S175" s="163">
        <v>1</v>
      </c>
      <c r="T175" s="163">
        <v>5</v>
      </c>
      <c r="U175" s="9"/>
      <c r="V175" s="9"/>
      <c r="W175" s="84">
        <f>O175/$Q175*100</f>
        <v>100</v>
      </c>
      <c r="X175" s="182">
        <f t="shared" ref="X175:AB175" si="55">P175/$Q175*100</f>
        <v>100</v>
      </c>
      <c r="Y175" s="182">
        <f t="shared" si="55"/>
        <v>100</v>
      </c>
      <c r="Z175" s="182">
        <f t="shared" si="55"/>
        <v>100</v>
      </c>
      <c r="AA175" s="182">
        <f t="shared" si="55"/>
        <v>100</v>
      </c>
      <c r="AB175" s="84">
        <f t="shared" si="55"/>
        <v>500</v>
      </c>
      <c r="AC175" s="26"/>
      <c r="AD175" s="26"/>
      <c r="AE175" s="26"/>
      <c r="AF175" s="26"/>
      <c r="AG175" s="26"/>
      <c r="AH175" s="26"/>
      <c r="AI175" s="26"/>
      <c r="AJ175" s="26"/>
      <c r="AK175" s="26"/>
      <c r="AL175" s="1"/>
      <c r="AM175" s="1"/>
      <c r="AN175" s="1"/>
      <c r="AO175" s="1"/>
      <c r="AP175" s="1" t="s">
        <v>253</v>
      </c>
      <c r="AQ175" s="1"/>
      <c r="AR175" s="1"/>
      <c r="AS175" s="1"/>
      <c r="AT175" s="1"/>
      <c r="AU175" s="1"/>
      <c r="BC175" s="9"/>
      <c r="BD175" s="1"/>
      <c r="BE175" s="87"/>
      <c r="BF175" s="87"/>
      <c r="BG175" s="91"/>
      <c r="BH175" s="88"/>
      <c r="BI175" s="66"/>
      <c r="BJ175" s="66"/>
      <c r="BK175" s="87"/>
      <c r="BL175" s="87"/>
      <c r="BM175" s="87"/>
      <c r="BN175" s="87"/>
      <c r="BO175" s="87"/>
      <c r="BP175" s="30"/>
    </row>
    <row r="176" spans="1:69" s="5" customFormat="1" ht="11.25" customHeight="1" x14ac:dyDescent="0.25">
      <c r="A176" s="25"/>
      <c r="B176" s="25"/>
      <c r="C176" s="25"/>
      <c r="D176" s="25"/>
      <c r="G176" s="86"/>
      <c r="H176" s="136" t="e">
        <f t="shared" si="54"/>
        <v>#REF!</v>
      </c>
      <c r="I176" s="151" t="str">
        <f>+I$62</f>
        <v>IZVLEČEK ANALITIČNE KALKULACIJE</v>
      </c>
      <c r="J176" s="165"/>
      <c r="K176" s="166"/>
      <c r="L176" s="166"/>
      <c r="M176" s="167"/>
      <c r="N176" s="1"/>
      <c r="O176" s="166"/>
      <c r="P176" s="166"/>
      <c r="Q176" s="166"/>
      <c r="R176" s="166"/>
      <c r="S176" s="166"/>
      <c r="T176" s="166"/>
      <c r="U176" s="1"/>
      <c r="V176" s="1"/>
      <c r="W176" s="154"/>
      <c r="X176" s="166"/>
      <c r="Y176" s="166"/>
      <c r="Z176" s="166"/>
      <c r="AA176" s="166"/>
      <c r="AB176" s="154"/>
      <c r="AC176" s="76"/>
      <c r="AD176" s="76"/>
      <c r="AE176" s="76"/>
      <c r="AF176" s="76"/>
      <c r="AG176" s="76"/>
      <c r="AH176" s="76"/>
      <c r="AI176" s="76"/>
      <c r="AJ176" s="76"/>
      <c r="AK176" s="76"/>
      <c r="AL176" s="1"/>
      <c r="AM176" s="1"/>
      <c r="AN176" s="1"/>
      <c r="AO176" s="1"/>
      <c r="AP176" s="1"/>
      <c r="AQ176" s="1"/>
      <c r="AR176" s="1" t="s">
        <v>240</v>
      </c>
      <c r="AS176" s="1"/>
      <c r="AT176" s="1"/>
      <c r="AU176" s="1"/>
      <c r="BC176" s="9"/>
      <c r="BD176" s="1"/>
      <c r="BE176" s="77"/>
      <c r="BF176" s="77"/>
      <c r="BG176" s="91"/>
      <c r="BH176" s="24"/>
      <c r="BI176" s="1"/>
      <c r="BJ176" s="1"/>
      <c r="BK176" s="77"/>
      <c r="BL176" s="77"/>
      <c r="BM176" s="77"/>
      <c r="BN176" s="77"/>
      <c r="BO176" s="77"/>
      <c r="BP176" s="76"/>
    </row>
    <row r="177" spans="1:69" s="10" customFormat="1" ht="11.25" customHeight="1" x14ac:dyDescent="0.25">
      <c r="A177" s="25"/>
      <c r="B177" s="25"/>
      <c r="C177" s="25"/>
      <c r="D177" s="25"/>
      <c r="F177" s="5"/>
      <c r="G177" s="86"/>
      <c r="H177" s="136" t="e">
        <f t="shared" si="54"/>
        <v>#REF!</v>
      </c>
      <c r="I177" s="151" t="str">
        <f>+I$63</f>
        <v>Stroški blaga in storitev</v>
      </c>
      <c r="J177" s="168" t="str">
        <f>+J$63</f>
        <v>EUR/ha</v>
      </c>
      <c r="K177" s="169" t="e">
        <f>+K187-K185-K184</f>
        <v>#REF!</v>
      </c>
      <c r="L177" s="169" t="e">
        <f>+L187-L185-L184</f>
        <v>#REF!</v>
      </c>
      <c r="M177" s="170" t="e">
        <f t="shared" ref="M177:M183" si="56">L177/K177*100</f>
        <v>#REF!</v>
      </c>
      <c r="N177" s="8"/>
      <c r="O177" s="169">
        <f t="shared" ref="O177:T177" si="57">+O187-O185-O184</f>
        <v>1808.0427750637368</v>
      </c>
      <c r="P177" s="169">
        <f t="shared" si="57"/>
        <v>1694.365646177203</v>
      </c>
      <c r="Q177" s="169">
        <f t="shared" si="57"/>
        <v>1600.416443799842</v>
      </c>
      <c r="R177" s="169">
        <f t="shared" si="57"/>
        <v>1505.4448038012488</v>
      </c>
      <c r="S177" s="169">
        <f t="shared" si="57"/>
        <v>1382.1578138026557</v>
      </c>
      <c r="T177" s="169">
        <f t="shared" si="57"/>
        <v>1543.771169444102</v>
      </c>
      <c r="U177" s="1"/>
      <c r="V177" s="9"/>
      <c r="W177" s="155">
        <f t="shared" ref="W177:AB204" si="58">O177/$Q177*100</f>
        <v>112.97326905557976</v>
      </c>
      <c r="X177" s="169">
        <f t="shared" si="58"/>
        <v>105.87029724302874</v>
      </c>
      <c r="Y177" s="169">
        <f t="shared" si="58"/>
        <v>100</v>
      </c>
      <c r="Z177" s="169">
        <f t="shared" si="58"/>
        <v>94.065817033652593</v>
      </c>
      <c r="AA177" s="169">
        <f t="shared" si="58"/>
        <v>86.362385187759102</v>
      </c>
      <c r="AB177" s="155">
        <f t="shared" si="58"/>
        <v>96.460591580698335</v>
      </c>
      <c r="AC177" s="8"/>
      <c r="AD177" s="8"/>
      <c r="AE177" s="8"/>
      <c r="AF177" s="8"/>
      <c r="AG177" s="8"/>
      <c r="AH177" s="8"/>
      <c r="AI177" s="8"/>
      <c r="AJ177" s="8"/>
      <c r="AK177" s="8"/>
      <c r="AL177" s="9"/>
      <c r="AM177" s="9"/>
      <c r="AN177" s="9"/>
      <c r="AO177" s="9"/>
      <c r="AP177" s="9" t="s">
        <v>241</v>
      </c>
      <c r="AQ177" s="9" t="s">
        <v>76</v>
      </c>
      <c r="AR177" s="9">
        <v>8</v>
      </c>
      <c r="AS177" s="9">
        <v>10</v>
      </c>
      <c r="AT177" s="9">
        <v>12</v>
      </c>
      <c r="AU177" s="9">
        <v>10</v>
      </c>
      <c r="AW177" s="5">
        <f>+AU177/AS177</f>
        <v>1</v>
      </c>
      <c r="AY177" s="38">
        <f>+AR177/AS177</f>
        <v>0.8</v>
      </c>
      <c r="AZ177" s="38">
        <f>+AT177/AS177</f>
        <v>1.2</v>
      </c>
      <c r="BB177" s="5"/>
      <c r="BC177" s="9"/>
      <c r="BD177" s="9"/>
      <c r="BE177" s="18"/>
      <c r="BF177" s="18"/>
      <c r="BG177" s="91"/>
      <c r="BH177" s="18"/>
      <c r="BI177" s="18"/>
      <c r="BJ177" s="18"/>
      <c r="BK177" s="18"/>
      <c r="BL177" s="18"/>
      <c r="BM177" s="18"/>
      <c r="BN177" s="18"/>
      <c r="BO177" s="18"/>
      <c r="BP177" s="8"/>
      <c r="BQ177" s="5"/>
    </row>
    <row r="178" spans="1:69" s="5" customFormat="1" ht="11.25" customHeight="1" x14ac:dyDescent="0.25">
      <c r="A178" s="25" t="s">
        <v>19</v>
      </c>
      <c r="B178" s="25"/>
      <c r="C178" s="25"/>
      <c r="D178" s="25"/>
      <c r="G178" s="86"/>
      <c r="H178" s="136" t="e">
        <f t="shared" si="54"/>
        <v>#REF!</v>
      </c>
      <c r="I178" s="152" t="str">
        <f>+I$64</f>
        <v xml:space="preserve">  Od tega: seme</v>
      </c>
      <c r="J178" s="165" t="str">
        <f>+J$64</f>
        <v>EUR/ha</v>
      </c>
      <c r="K178" s="171" t="e">
        <v>#REF!</v>
      </c>
      <c r="L178" s="171" t="e">
        <v>#REF!</v>
      </c>
      <c r="M178" s="172" t="e">
        <f t="shared" si="56"/>
        <v>#REF!</v>
      </c>
      <c r="N178" s="8"/>
      <c r="O178" s="171">
        <v>177.51999999999998</v>
      </c>
      <c r="P178" s="171">
        <v>177.51999999999998</v>
      </c>
      <c r="Q178" s="171">
        <v>177.51999999999998</v>
      </c>
      <c r="R178" s="171">
        <v>177.51999999999998</v>
      </c>
      <c r="S178" s="171">
        <v>149.48500000000001</v>
      </c>
      <c r="T178" s="171">
        <v>177.51999999999998</v>
      </c>
      <c r="U178" s="1"/>
      <c r="V178" s="1"/>
      <c r="W178" s="156">
        <f t="shared" si="58"/>
        <v>100</v>
      </c>
      <c r="X178" s="171">
        <f t="shared" si="58"/>
        <v>100</v>
      </c>
      <c r="Y178" s="171">
        <f t="shared" si="58"/>
        <v>100</v>
      </c>
      <c r="Z178" s="171">
        <f t="shared" si="58"/>
        <v>100</v>
      </c>
      <c r="AA178" s="171">
        <f t="shared" si="58"/>
        <v>84.20741324921137</v>
      </c>
      <c r="AB178" s="156">
        <f t="shared" si="58"/>
        <v>100</v>
      </c>
      <c r="AC178" s="4"/>
      <c r="AD178" s="4"/>
      <c r="AE178" s="4"/>
      <c r="AF178" s="4"/>
      <c r="AG178" s="4"/>
      <c r="AH178" s="4"/>
      <c r="AI178" s="4"/>
      <c r="AJ178" s="4"/>
      <c r="AK178" s="4"/>
      <c r="AL178" s="1"/>
      <c r="AM178" s="1"/>
      <c r="AN178" s="1"/>
      <c r="AO178" s="1"/>
      <c r="AP178" s="1" t="s">
        <v>242</v>
      </c>
      <c r="AQ178" s="1" t="s">
        <v>243</v>
      </c>
      <c r="AR178" s="1">
        <v>30</v>
      </c>
      <c r="AS178" s="1">
        <v>30</v>
      </c>
      <c r="AT178" s="1">
        <v>30</v>
      </c>
      <c r="AU178" s="1">
        <v>35</v>
      </c>
      <c r="AY178" s="38"/>
      <c r="AZ178" s="38"/>
      <c r="BC178" s="1"/>
      <c r="BD178" s="1"/>
      <c r="BE178" s="7"/>
      <c r="BF178" s="7"/>
      <c r="BG178" s="91"/>
      <c r="BH178" s="70"/>
      <c r="BI178" s="7"/>
      <c r="BJ178" s="4"/>
      <c r="BK178" s="7"/>
      <c r="BL178" s="7"/>
      <c r="BM178" s="7"/>
      <c r="BN178" s="7"/>
      <c r="BO178" s="7"/>
      <c r="BP178" s="4"/>
    </row>
    <row r="179" spans="1:69" s="5" customFormat="1" ht="11.25" customHeight="1" x14ac:dyDescent="0.25">
      <c r="A179" s="25" t="s">
        <v>18</v>
      </c>
      <c r="B179" s="25" t="s">
        <v>17</v>
      </c>
      <c r="C179" s="25"/>
      <c r="D179" s="25"/>
      <c r="G179" s="86"/>
      <c r="H179" s="136" t="e">
        <f t="shared" si="54"/>
        <v>#REF!</v>
      </c>
      <c r="I179" s="152" t="str">
        <f>+I$65</f>
        <v xml:space="preserve">                 gnojila</v>
      </c>
      <c r="J179" s="165" t="str">
        <f>+J$65</f>
        <v>EUR/ha</v>
      </c>
      <c r="K179" s="171" t="e">
        <v>#REF!</v>
      </c>
      <c r="L179" s="171" t="e">
        <v>#REF!</v>
      </c>
      <c r="M179" s="172" t="e">
        <f t="shared" si="56"/>
        <v>#REF!</v>
      </c>
      <c r="N179" s="8"/>
      <c r="O179" s="171">
        <v>382.1507323260314</v>
      </c>
      <c r="P179" s="171">
        <v>343.13890604635435</v>
      </c>
      <c r="Q179" s="171">
        <v>304.03968361073873</v>
      </c>
      <c r="R179" s="171">
        <v>264.92218136846117</v>
      </c>
      <c r="S179" s="171">
        <v>225.80467912618371</v>
      </c>
      <c r="T179" s="171">
        <v>304.03968361073873</v>
      </c>
      <c r="U179" s="1"/>
      <c r="V179" s="1"/>
      <c r="W179" s="156">
        <f t="shared" si="58"/>
        <v>125.69107025361139</v>
      </c>
      <c r="X179" s="171">
        <f t="shared" si="58"/>
        <v>112.85990761839966</v>
      </c>
      <c r="Y179" s="171">
        <f t="shared" si="58"/>
        <v>100</v>
      </c>
      <c r="Z179" s="171">
        <f t="shared" si="58"/>
        <v>87.134080072139668</v>
      </c>
      <c r="AA179" s="171">
        <f t="shared" si="58"/>
        <v>74.268160144279349</v>
      </c>
      <c r="AB179" s="156">
        <f t="shared" si="58"/>
        <v>100</v>
      </c>
      <c r="AC179" s="4"/>
      <c r="AD179" s="4"/>
      <c r="AE179" s="4"/>
      <c r="AF179" s="4"/>
      <c r="AG179" s="4"/>
      <c r="AH179" s="4"/>
      <c r="AI179" s="4"/>
      <c r="AJ179" s="4"/>
      <c r="AK179" s="4"/>
      <c r="AL179" s="1"/>
      <c r="AM179" s="1"/>
      <c r="AN179" s="1"/>
      <c r="AO179" s="1"/>
      <c r="AP179" s="1" t="s">
        <v>254</v>
      </c>
      <c r="AQ179" s="1" t="s">
        <v>35</v>
      </c>
      <c r="AR179" s="336">
        <f>+S177</f>
        <v>1382.1578138026557</v>
      </c>
      <c r="AS179" s="336">
        <f>+Q177</f>
        <v>1600.416443799842</v>
      </c>
      <c r="AT179" s="336">
        <f>+O177</f>
        <v>1808.0427750637368</v>
      </c>
      <c r="AU179" s="70">
        <v>1680.4</v>
      </c>
      <c r="AY179" s="38"/>
      <c r="AZ179" s="38"/>
      <c r="BC179" s="1"/>
      <c r="BD179" s="1"/>
      <c r="BE179" s="7"/>
      <c r="BF179" s="7"/>
      <c r="BG179" s="91"/>
      <c r="BH179" s="70"/>
      <c r="BI179" s="7"/>
      <c r="BJ179" s="4"/>
      <c r="BK179" s="7"/>
      <c r="BL179" s="7"/>
      <c r="BM179" s="7"/>
      <c r="BN179" s="7"/>
      <c r="BO179" s="7"/>
      <c r="BP179" s="4"/>
    </row>
    <row r="180" spans="1:69" s="5" customFormat="1" ht="11.25" customHeight="1" x14ac:dyDescent="0.25">
      <c r="A180" s="25" t="s">
        <v>16</v>
      </c>
      <c r="B180" s="25"/>
      <c r="C180" s="25"/>
      <c r="D180" s="25"/>
      <c r="G180" s="86"/>
      <c r="H180" s="136" t="e">
        <f t="shared" si="54"/>
        <v>#REF!</v>
      </c>
      <c r="I180" s="152" t="str">
        <f>+I$66</f>
        <v xml:space="preserve">                 sredstva za varstvo</v>
      </c>
      <c r="J180" s="165" t="str">
        <f>+J$66</f>
        <v>EUR/ha</v>
      </c>
      <c r="K180" s="171" t="e">
        <v>#REF!</v>
      </c>
      <c r="L180" s="171" t="e">
        <v>#REF!</v>
      </c>
      <c r="M180" s="172" t="e">
        <f t="shared" si="56"/>
        <v>#REF!</v>
      </c>
      <c r="N180" s="8"/>
      <c r="O180" s="171">
        <v>68.187000000000012</v>
      </c>
      <c r="P180" s="171">
        <v>68.187000000000012</v>
      </c>
      <c r="Q180" s="171">
        <v>68.187000000000012</v>
      </c>
      <c r="R180" s="171">
        <v>68.187000000000012</v>
      </c>
      <c r="S180" s="171">
        <v>68.187000000000012</v>
      </c>
      <c r="T180" s="171">
        <v>68.187000000000012</v>
      </c>
      <c r="U180" s="1"/>
      <c r="V180" s="1"/>
      <c r="W180" s="156">
        <f t="shared" si="58"/>
        <v>100</v>
      </c>
      <c r="X180" s="171">
        <f t="shared" si="58"/>
        <v>100</v>
      </c>
      <c r="Y180" s="171">
        <f t="shared" si="58"/>
        <v>100</v>
      </c>
      <c r="Z180" s="171">
        <f t="shared" si="58"/>
        <v>100</v>
      </c>
      <c r="AA180" s="171">
        <f t="shared" si="58"/>
        <v>100</v>
      </c>
      <c r="AB180" s="156">
        <f t="shared" si="58"/>
        <v>100</v>
      </c>
      <c r="AC180" s="4"/>
      <c r="AD180" s="4"/>
      <c r="AE180" s="4"/>
      <c r="AF180" s="4"/>
      <c r="AG180" s="4"/>
      <c r="AH180" s="4"/>
      <c r="AI180" s="4"/>
      <c r="AJ180" s="4"/>
      <c r="AK180" s="4"/>
      <c r="AL180" s="1"/>
      <c r="AM180" s="1"/>
      <c r="AN180" s="1"/>
      <c r="AO180" s="1"/>
      <c r="AP180" s="1" t="s">
        <v>244</v>
      </c>
      <c r="AQ180" s="1" t="s">
        <v>35</v>
      </c>
      <c r="AR180" s="336">
        <f>+S179</f>
        <v>225.80467912618371</v>
      </c>
      <c r="AS180" s="336">
        <f>+Q179</f>
        <v>304.03968361073873</v>
      </c>
      <c r="AT180" s="336">
        <f>+O179</f>
        <v>382.1507323260314</v>
      </c>
      <c r="AU180" s="70">
        <v>329.4</v>
      </c>
      <c r="AY180" s="38"/>
      <c r="AZ180" s="38"/>
      <c r="BC180" s="1"/>
      <c r="BD180" s="1"/>
      <c r="BE180" s="7"/>
      <c r="BF180" s="7"/>
      <c r="BG180" s="91"/>
      <c r="BH180" s="70"/>
      <c r="BI180" s="7"/>
      <c r="BJ180" s="4"/>
      <c r="BK180" s="7"/>
      <c r="BL180" s="7"/>
      <c r="BM180" s="7"/>
      <c r="BN180" s="7"/>
      <c r="BO180" s="7"/>
      <c r="BP180" s="4"/>
    </row>
    <row r="181" spans="1:69" s="5" customFormat="1" ht="11.25" customHeight="1" x14ac:dyDescent="0.25">
      <c r="A181" s="25" t="s">
        <v>15</v>
      </c>
      <c r="B181" s="25" t="s">
        <v>14</v>
      </c>
      <c r="C181" s="25" t="s">
        <v>13</v>
      </c>
      <c r="D181" s="25"/>
      <c r="G181" s="86"/>
      <c r="H181" s="136" t="e">
        <f t="shared" si="54"/>
        <v>#REF!</v>
      </c>
      <c r="I181" s="152" t="str">
        <f>+I$67</f>
        <v xml:space="preserve">                 najete storitve</v>
      </c>
      <c r="J181" s="165" t="str">
        <f>+J$67</f>
        <v>EUR/ha</v>
      </c>
      <c r="K181" s="171" t="e">
        <v>#REF!</v>
      </c>
      <c r="L181" s="171" t="e">
        <v>#REF!</v>
      </c>
      <c r="M181" s="172" t="e">
        <f t="shared" si="56"/>
        <v>#REF!</v>
      </c>
      <c r="N181" s="8"/>
      <c r="O181" s="171">
        <v>790.07463987587198</v>
      </c>
      <c r="P181" s="171">
        <v>739.48878273301489</v>
      </c>
      <c r="Q181" s="171">
        <v>688.90292559015768</v>
      </c>
      <c r="R181" s="171">
        <v>638.31706844730047</v>
      </c>
      <c r="S181" s="171">
        <v>587.73121130444338</v>
      </c>
      <c r="T181" s="171">
        <v>688.90292559015768</v>
      </c>
      <c r="U181" s="1"/>
      <c r="V181" s="1"/>
      <c r="W181" s="156">
        <f t="shared" si="58"/>
        <v>114.68591735171458</v>
      </c>
      <c r="X181" s="171">
        <f t="shared" si="58"/>
        <v>107.3429586758573</v>
      </c>
      <c r="Y181" s="171">
        <f t="shared" si="58"/>
        <v>100</v>
      </c>
      <c r="Z181" s="171">
        <f t="shared" si="58"/>
        <v>92.65704132414271</v>
      </c>
      <c r="AA181" s="171">
        <f t="shared" si="58"/>
        <v>85.314082648285421</v>
      </c>
      <c r="AB181" s="156">
        <f t="shared" si="58"/>
        <v>100</v>
      </c>
      <c r="AC181" s="4"/>
      <c r="AD181" s="4"/>
      <c r="AE181" s="4"/>
      <c r="AF181" s="4"/>
      <c r="AG181" s="4"/>
      <c r="AH181" s="4"/>
      <c r="AI181" s="4"/>
      <c r="AJ181" s="4"/>
      <c r="AK181" s="4"/>
      <c r="AL181" s="1"/>
      <c r="AM181" s="1"/>
      <c r="AN181" s="1"/>
      <c r="AO181" s="1"/>
      <c r="AP181" s="1" t="s">
        <v>245</v>
      </c>
      <c r="AQ181" s="1" t="s">
        <v>35</v>
      </c>
      <c r="AR181" s="336">
        <f>+S178</f>
        <v>149.48500000000001</v>
      </c>
      <c r="AS181" s="336">
        <f>+Q178</f>
        <v>177.51999999999998</v>
      </c>
      <c r="AT181" s="336">
        <f>+O178</f>
        <v>177.51999999999998</v>
      </c>
      <c r="AU181" s="70">
        <v>177.5</v>
      </c>
      <c r="AY181" s="38"/>
      <c r="AZ181" s="38"/>
      <c r="BC181" s="1"/>
      <c r="BD181" s="1"/>
      <c r="BE181" s="7"/>
      <c r="BF181" s="7"/>
      <c r="BG181" s="91"/>
      <c r="BH181" s="70"/>
      <c r="BI181" s="7"/>
      <c r="BJ181" s="4"/>
      <c r="BK181" s="7"/>
      <c r="BL181" s="7"/>
      <c r="BM181" s="7"/>
      <c r="BN181" s="7"/>
      <c r="BO181" s="7"/>
      <c r="BP181" s="4"/>
    </row>
    <row r="182" spans="1:69" s="5" customFormat="1" ht="11.25" customHeight="1" x14ac:dyDescent="0.25">
      <c r="A182" s="25" t="s">
        <v>12</v>
      </c>
      <c r="B182" s="25"/>
      <c r="C182" s="25"/>
      <c r="D182" s="25"/>
      <c r="G182" s="86"/>
      <c r="H182" s="136" t="e">
        <f t="shared" si="54"/>
        <v>#REF!</v>
      </c>
      <c r="I182" s="152" t="str">
        <f>+I$68</f>
        <v xml:space="preserve">                 zavarovanje</v>
      </c>
      <c r="J182" s="165" t="str">
        <f>+J$68</f>
        <v>EUR/ha</v>
      </c>
      <c r="K182" s="171" t="e">
        <v>#REF!</v>
      </c>
      <c r="L182" s="171" t="e">
        <v>#REF!</v>
      </c>
      <c r="M182" s="172" t="e">
        <f t="shared" si="56"/>
        <v>#REF!</v>
      </c>
      <c r="N182" s="8"/>
      <c r="O182" s="171">
        <v>20.823075000000003</v>
      </c>
      <c r="P182" s="171">
        <v>20.823075000000003</v>
      </c>
      <c r="Q182" s="171">
        <v>19.831500000000002</v>
      </c>
      <c r="R182" s="171">
        <v>17.848350000000003</v>
      </c>
      <c r="S182" s="171">
        <v>15.865200000000003</v>
      </c>
      <c r="T182" s="171">
        <v>19.831500000000002</v>
      </c>
      <c r="U182" s="1"/>
      <c r="V182" s="1"/>
      <c r="W182" s="156">
        <f t="shared" si="58"/>
        <v>105</v>
      </c>
      <c r="X182" s="171">
        <f t="shared" si="58"/>
        <v>105</v>
      </c>
      <c r="Y182" s="171">
        <f t="shared" si="58"/>
        <v>100</v>
      </c>
      <c r="Z182" s="171">
        <f t="shared" si="58"/>
        <v>90.000000000000014</v>
      </c>
      <c r="AA182" s="171">
        <f t="shared" si="58"/>
        <v>80</v>
      </c>
      <c r="AB182" s="156">
        <f t="shared" si="58"/>
        <v>100</v>
      </c>
      <c r="AC182" s="4"/>
      <c r="AD182" s="4"/>
      <c r="AE182" s="4"/>
      <c r="AF182" s="4"/>
      <c r="AG182" s="4"/>
      <c r="AH182" s="4"/>
      <c r="AI182" s="4"/>
      <c r="AJ182" s="4"/>
      <c r="AK182" s="4"/>
      <c r="AL182" s="1"/>
      <c r="AM182" s="1"/>
      <c r="AN182" s="1"/>
      <c r="AO182" s="1"/>
      <c r="AP182" s="1" t="s">
        <v>246</v>
      </c>
      <c r="AQ182" s="1" t="s">
        <v>35</v>
      </c>
      <c r="AR182" s="336">
        <f t="shared" ref="AR182" si="59">+S180</f>
        <v>68.187000000000012</v>
      </c>
      <c r="AS182" s="336">
        <f t="shared" ref="AS182" si="60">+Q180</f>
        <v>68.187000000000012</v>
      </c>
      <c r="AT182" s="336">
        <f t="shared" ref="AT182" si="61">+O180</f>
        <v>68.187000000000012</v>
      </c>
      <c r="AU182" s="70">
        <v>68.2</v>
      </c>
      <c r="AY182" s="38"/>
      <c r="AZ182" s="38"/>
      <c r="BC182" s="1"/>
      <c r="BD182" s="1"/>
      <c r="BE182" s="7"/>
      <c r="BF182" s="7"/>
      <c r="BG182" s="91"/>
      <c r="BH182" s="70"/>
      <c r="BI182" s="7"/>
      <c r="BJ182" s="4"/>
      <c r="BK182" s="7"/>
      <c r="BL182" s="7"/>
      <c r="BM182" s="7"/>
      <c r="BN182" s="7"/>
      <c r="BO182" s="7"/>
      <c r="BP182" s="4"/>
    </row>
    <row r="183" spans="1:69" s="5" customFormat="1" ht="11.25" customHeight="1" x14ac:dyDescent="0.25">
      <c r="A183" s="25" t="s">
        <v>11</v>
      </c>
      <c r="B183" s="25"/>
      <c r="C183" s="25"/>
      <c r="D183" s="25"/>
      <c r="G183" s="86"/>
      <c r="H183" s="136" t="e">
        <f t="shared" si="54"/>
        <v>#REF!</v>
      </c>
      <c r="I183" s="152" t="str">
        <f>+I$69</f>
        <v xml:space="preserve">                 domače strojne storitve</v>
      </c>
      <c r="J183" s="165" t="str">
        <f>+J$69</f>
        <v>EUR/ha</v>
      </c>
      <c r="K183" s="171" t="e">
        <v>#REF!</v>
      </c>
      <c r="L183" s="171" t="e">
        <v>#REF!</v>
      </c>
      <c r="M183" s="172" t="e">
        <f t="shared" si="56"/>
        <v>#REF!</v>
      </c>
      <c r="N183" s="8"/>
      <c r="O183" s="171">
        <v>339.12891284340094</v>
      </c>
      <c r="P183" s="171">
        <v>317.70755872927361</v>
      </c>
      <c r="Q183" s="171">
        <v>316.72900073540887</v>
      </c>
      <c r="R183" s="171">
        <v>315.73822552310725</v>
      </c>
      <c r="S183" s="171">
        <v>314.74745031080568</v>
      </c>
      <c r="T183" s="171">
        <v>261.22260048158495</v>
      </c>
      <c r="U183" s="1"/>
      <c r="V183" s="1"/>
      <c r="W183" s="156">
        <f t="shared" si="58"/>
        <v>107.07226431933357</v>
      </c>
      <c r="X183" s="171">
        <f t="shared" si="58"/>
        <v>100.30895749729032</v>
      </c>
      <c r="Y183" s="171">
        <f t="shared" si="58"/>
        <v>100</v>
      </c>
      <c r="Z183" s="171">
        <f t="shared" si="58"/>
        <v>99.687185193019531</v>
      </c>
      <c r="AA183" s="171">
        <f t="shared" si="58"/>
        <v>99.374370386039089</v>
      </c>
      <c r="AB183" s="156">
        <f t="shared" si="58"/>
        <v>82.475112754138607</v>
      </c>
      <c r="AC183" s="4"/>
      <c r="AD183" s="4"/>
      <c r="AE183" s="4"/>
      <c r="AF183" s="4"/>
      <c r="AG183" s="4"/>
      <c r="AH183" s="4"/>
      <c r="AI183" s="4"/>
      <c r="AJ183" s="4"/>
      <c r="AK183" s="4"/>
      <c r="AL183" s="1"/>
      <c r="AM183" s="1"/>
      <c r="AN183" s="1"/>
      <c r="AO183" s="1"/>
      <c r="AP183" s="1" t="s">
        <v>247</v>
      </c>
      <c r="AQ183" s="1" t="s">
        <v>35</v>
      </c>
      <c r="AR183" s="4">
        <v>140</v>
      </c>
      <c r="AS183" s="4">
        <v>140</v>
      </c>
      <c r="AT183" s="4">
        <v>140</v>
      </c>
      <c r="AU183" s="70">
        <v>140</v>
      </c>
      <c r="AY183" s="38"/>
      <c r="AZ183" s="38"/>
      <c r="BC183" s="1"/>
      <c r="BD183" s="1"/>
      <c r="BE183" s="7"/>
      <c r="BF183" s="7"/>
      <c r="BG183" s="91"/>
      <c r="BH183" s="70"/>
      <c r="BI183" s="7"/>
      <c r="BJ183" s="4"/>
      <c r="BK183" s="7"/>
      <c r="BL183" s="7"/>
      <c r="BM183" s="7"/>
      <c r="BN183" s="7"/>
      <c r="BO183" s="7"/>
      <c r="BP183" s="4"/>
    </row>
    <row r="184" spans="1:69" s="5" customFormat="1" ht="11.25" customHeight="1" x14ac:dyDescent="0.25">
      <c r="A184" s="25" t="s">
        <v>10</v>
      </c>
      <c r="B184" s="25"/>
      <c r="C184" s="25"/>
      <c r="D184" s="25"/>
      <c r="G184" s="86"/>
      <c r="H184" s="136" t="e">
        <f t="shared" si="54"/>
        <v>#REF!</v>
      </c>
      <c r="I184" s="152" t="str">
        <f>+I$70</f>
        <v>Amortizacija</v>
      </c>
      <c r="J184" s="165" t="str">
        <f>+J$70</f>
        <v>EUR/ha</v>
      </c>
      <c r="K184" s="171" t="e">
        <v>#REF!</v>
      </c>
      <c r="L184" s="171" t="e">
        <v>#REF!</v>
      </c>
      <c r="M184" s="172"/>
      <c r="N184" s="8"/>
      <c r="O184" s="171">
        <v>0</v>
      </c>
      <c r="P184" s="171">
        <v>0</v>
      </c>
      <c r="Q184" s="171">
        <v>0</v>
      </c>
      <c r="R184" s="171">
        <v>0</v>
      </c>
      <c r="S184" s="171">
        <v>0</v>
      </c>
      <c r="T184" s="171">
        <v>0</v>
      </c>
      <c r="U184" s="1"/>
      <c r="V184" s="1"/>
      <c r="W184" s="156"/>
      <c r="X184" s="171"/>
      <c r="Y184" s="171"/>
      <c r="Z184" s="171"/>
      <c r="AA184" s="171"/>
      <c r="AB184" s="156"/>
      <c r="AC184" s="4"/>
      <c r="AD184" s="4"/>
      <c r="AE184" s="4"/>
      <c r="AF184" s="4"/>
      <c r="AG184" s="4"/>
      <c r="AH184" s="4"/>
      <c r="AI184" s="4"/>
      <c r="AJ184" s="4"/>
      <c r="AK184" s="4"/>
      <c r="AL184" s="1"/>
      <c r="AM184" s="1"/>
      <c r="AN184" s="1"/>
      <c r="AO184" s="1"/>
      <c r="AP184" s="1" t="s">
        <v>248</v>
      </c>
      <c r="AQ184" s="1"/>
      <c r="AR184" s="4">
        <v>366.5</v>
      </c>
      <c r="AS184" s="4">
        <v>458.1</v>
      </c>
      <c r="AT184" s="4">
        <v>549.70000000000005</v>
      </c>
      <c r="AU184" s="70">
        <v>584.70000000000005</v>
      </c>
      <c r="AY184" s="38"/>
      <c r="AZ184" s="38"/>
      <c r="BC184" s="1"/>
      <c r="BD184" s="1"/>
      <c r="BE184" s="7"/>
      <c r="BF184" s="7"/>
      <c r="BG184" s="91"/>
      <c r="BH184" s="70"/>
      <c r="BI184" s="7"/>
      <c r="BJ184" s="4"/>
      <c r="BK184" s="7"/>
      <c r="BL184" s="7"/>
      <c r="BM184" s="7"/>
      <c r="BN184" s="7"/>
      <c r="BO184" s="7"/>
      <c r="BP184" s="4"/>
    </row>
    <row r="185" spans="1:69" s="10" customFormat="1" ht="11.25" customHeight="1" x14ac:dyDescent="0.25">
      <c r="A185" s="25" t="s">
        <v>7</v>
      </c>
      <c r="B185" s="25" t="s">
        <v>9</v>
      </c>
      <c r="C185" s="25" t="s">
        <v>8</v>
      </c>
      <c r="D185" s="25"/>
      <c r="F185" s="5"/>
      <c r="G185" s="86"/>
      <c r="H185" s="136" t="e">
        <f t="shared" si="54"/>
        <v>#REF!</v>
      </c>
      <c r="I185" s="151" t="str">
        <f>+I$71</f>
        <v>Stroški domačega dela in kapitala</v>
      </c>
      <c r="J185" s="168" t="str">
        <f>+J$71</f>
        <v>EUR/ha</v>
      </c>
      <c r="K185" s="169" t="e">
        <v>#REF!</v>
      </c>
      <c r="L185" s="169" t="e">
        <v>#REF!</v>
      </c>
      <c r="M185" s="170" t="e">
        <f>L185/K185*100</f>
        <v>#REF!</v>
      </c>
      <c r="N185" s="8"/>
      <c r="O185" s="169">
        <v>257.67380250105009</v>
      </c>
      <c r="P185" s="169">
        <v>245.86262912301538</v>
      </c>
      <c r="Q185" s="169">
        <v>245.05250738048011</v>
      </c>
      <c r="R185" s="169">
        <v>244.20959692871685</v>
      </c>
      <c r="S185" s="169">
        <v>242.91090650435086</v>
      </c>
      <c r="T185" s="169">
        <v>209.92899376194305</v>
      </c>
      <c r="U185" s="1"/>
      <c r="V185" s="9"/>
      <c r="W185" s="155">
        <f t="shared" si="58"/>
        <v>105.15044520681994</v>
      </c>
      <c r="X185" s="169">
        <f t="shared" si="58"/>
        <v>100.33059108482307</v>
      </c>
      <c r="Y185" s="169">
        <f t="shared" si="58"/>
        <v>100</v>
      </c>
      <c r="Z185" s="169">
        <f t="shared" si="58"/>
        <v>99.656028636158979</v>
      </c>
      <c r="AA185" s="169">
        <f t="shared" si="58"/>
        <v>99.126064491638076</v>
      </c>
      <c r="AB185" s="155">
        <f t="shared" si="58"/>
        <v>85.666943793395816</v>
      </c>
      <c r="AC185" s="8"/>
      <c r="AD185" s="8"/>
      <c r="AE185" s="8"/>
      <c r="AF185" s="8"/>
      <c r="AG185" s="8"/>
      <c r="AH185" s="8"/>
      <c r="AI185" s="8"/>
      <c r="AJ185" s="8"/>
      <c r="AK185" s="8"/>
      <c r="AL185" s="1"/>
      <c r="AM185" s="1"/>
      <c r="AN185" s="9"/>
      <c r="AO185" s="9"/>
      <c r="AP185" s="9" t="s">
        <v>249</v>
      </c>
      <c r="AQ185" s="9" t="s">
        <v>35</v>
      </c>
      <c r="AR185" s="336">
        <f t="shared" ref="AR185" si="62">+S183</f>
        <v>314.74745031080568</v>
      </c>
      <c r="AS185" s="336">
        <f t="shared" ref="AS185" si="63">+Q183</f>
        <v>316.72900073540887</v>
      </c>
      <c r="AT185" s="336">
        <f t="shared" ref="AT185" si="64">+O183</f>
        <v>339.12891284340094</v>
      </c>
      <c r="AU185" s="71">
        <v>298</v>
      </c>
      <c r="AY185" s="38"/>
      <c r="AZ185" s="38"/>
      <c r="BB185" s="5"/>
      <c r="BC185" s="9"/>
      <c r="BD185" s="9"/>
      <c r="BE185" s="6"/>
      <c r="BF185" s="6"/>
      <c r="BG185" s="91"/>
      <c r="BH185" s="71"/>
      <c r="BI185" s="6"/>
      <c r="BJ185" s="8"/>
      <c r="BK185" s="6"/>
      <c r="BL185" s="6"/>
      <c r="BM185" s="6"/>
      <c r="BN185" s="6"/>
      <c r="BO185" s="6"/>
      <c r="BP185" s="8"/>
      <c r="BQ185" s="5"/>
    </row>
    <row r="186" spans="1:69" s="5" customFormat="1" ht="11.25" customHeight="1" x14ac:dyDescent="0.25">
      <c r="A186" s="25" t="s">
        <v>7</v>
      </c>
      <c r="B186" s="25"/>
      <c r="C186" s="25"/>
      <c r="D186" s="25"/>
      <c r="G186" s="86"/>
      <c r="H186" s="136" t="e">
        <f t="shared" si="54"/>
        <v>#REF!</v>
      </c>
      <c r="I186" s="152" t="str">
        <f>+I$72</f>
        <v xml:space="preserve">  Od tega: domače delo neto</v>
      </c>
      <c r="J186" s="165" t="str">
        <f>+J$72</f>
        <v>EUR/ha</v>
      </c>
      <c r="K186" s="171" t="e">
        <v>#REF!</v>
      </c>
      <c r="L186" s="171" t="e">
        <v>#REF!</v>
      </c>
      <c r="M186" s="172" t="e">
        <f>L186/K186*100</f>
        <v>#REF!</v>
      </c>
      <c r="N186" s="8"/>
      <c r="O186" s="171">
        <v>107.72425676170887</v>
      </c>
      <c r="P186" s="171">
        <v>101.54846525208298</v>
      </c>
      <c r="Q186" s="171">
        <v>101.21313351257201</v>
      </c>
      <c r="R186" s="171">
        <v>100.87780177306107</v>
      </c>
      <c r="S186" s="171">
        <v>100.54247003355012</v>
      </c>
      <c r="T186" s="171">
        <v>83.032026369200167</v>
      </c>
      <c r="U186" s="1"/>
      <c r="V186" s="1"/>
      <c r="W186" s="156">
        <f t="shared" si="58"/>
        <v>106.43308138298879</v>
      </c>
      <c r="X186" s="171">
        <f t="shared" si="58"/>
        <v>100.3313124768233</v>
      </c>
      <c r="Y186" s="171">
        <f t="shared" si="58"/>
        <v>100</v>
      </c>
      <c r="Z186" s="171">
        <f t="shared" si="58"/>
        <v>99.668687523176729</v>
      </c>
      <c r="AA186" s="171">
        <f t="shared" si="58"/>
        <v>99.337375046353444</v>
      </c>
      <c r="AB186" s="156">
        <f t="shared" si="58"/>
        <v>82.036810330436509</v>
      </c>
      <c r="AC186" s="4"/>
      <c r="AD186" s="4"/>
      <c r="AE186" s="4"/>
      <c r="AF186" s="4"/>
      <c r="AG186" s="4"/>
      <c r="AH186" s="4"/>
      <c r="AI186" s="4"/>
      <c r="AJ186" s="4"/>
      <c r="AK186" s="4"/>
      <c r="AL186" s="1"/>
      <c r="AM186" s="1"/>
      <c r="AN186" s="1"/>
      <c r="AO186" s="1"/>
      <c r="AP186" s="1" t="s">
        <v>51</v>
      </c>
      <c r="AQ186" s="1" t="s">
        <v>35</v>
      </c>
      <c r="AR186" s="336">
        <f>+S189</f>
        <v>1625.0687203070065</v>
      </c>
      <c r="AS186" s="336">
        <f>+Q189</f>
        <v>1845.4689511803222</v>
      </c>
      <c r="AT186" s="336">
        <f>+O189</f>
        <v>2065.7165775647868</v>
      </c>
      <c r="AU186" s="70">
        <v>1917.4</v>
      </c>
      <c r="AY186" s="38"/>
      <c r="AZ186" s="38"/>
      <c r="BC186" s="1"/>
      <c r="BD186" s="1"/>
      <c r="BE186" s="7"/>
      <c r="BF186" s="7"/>
      <c r="BG186" s="91"/>
      <c r="BH186" s="70"/>
      <c r="BI186" s="7"/>
      <c r="BJ186" s="4"/>
      <c r="BK186" s="7"/>
      <c r="BL186" s="7"/>
      <c r="BM186" s="7"/>
      <c r="BN186" s="7"/>
      <c r="BO186" s="7"/>
      <c r="BP186" s="4"/>
    </row>
    <row r="187" spans="1:69" s="10" customFormat="1" ht="11.25" customHeight="1" x14ac:dyDescent="0.25">
      <c r="A187" s="25" t="s">
        <v>6</v>
      </c>
      <c r="B187" s="25"/>
      <c r="C187" s="25"/>
      <c r="D187" s="25"/>
      <c r="F187" s="5"/>
      <c r="G187" s="86"/>
      <c r="H187" s="136" t="e">
        <f t="shared" si="54"/>
        <v>#REF!</v>
      </c>
      <c r="I187" s="151" t="str">
        <f>+I$73</f>
        <v>Stroški skupaj</v>
      </c>
      <c r="J187" s="168" t="str">
        <f>+J$73</f>
        <v>EUR/ha</v>
      </c>
      <c r="K187" s="169" t="e">
        <v>#REF!</v>
      </c>
      <c r="L187" s="169" t="e">
        <v>#REF!</v>
      </c>
      <c r="M187" s="170" t="e">
        <f>L187/K187*100</f>
        <v>#REF!</v>
      </c>
      <c r="N187" s="8"/>
      <c r="O187" s="169">
        <v>2065.7165775647868</v>
      </c>
      <c r="P187" s="169">
        <v>1940.2282753002185</v>
      </c>
      <c r="Q187" s="169">
        <v>1845.4689511803222</v>
      </c>
      <c r="R187" s="169">
        <v>1749.6544007299656</v>
      </c>
      <c r="S187" s="169">
        <v>1625.0687203070065</v>
      </c>
      <c r="T187" s="169">
        <v>1753.7001632060451</v>
      </c>
      <c r="U187" s="1"/>
      <c r="V187" s="9"/>
      <c r="W187" s="155">
        <f t="shared" si="58"/>
        <v>111.93450728301872</v>
      </c>
      <c r="X187" s="169">
        <f t="shared" si="58"/>
        <v>105.13470161929791</v>
      </c>
      <c r="Y187" s="169">
        <f t="shared" si="58"/>
        <v>100</v>
      </c>
      <c r="Z187" s="169">
        <f t="shared" si="58"/>
        <v>94.808119075150216</v>
      </c>
      <c r="AA187" s="169">
        <f t="shared" si="58"/>
        <v>88.057223572775229</v>
      </c>
      <c r="AB187" s="155">
        <f t="shared" si="58"/>
        <v>95.027345872409086</v>
      </c>
      <c r="AC187" s="8"/>
      <c r="AD187" s="8"/>
      <c r="AE187" s="8"/>
      <c r="AF187" s="8"/>
      <c r="AG187" s="8"/>
      <c r="AH187" s="8"/>
      <c r="AI187" s="8"/>
      <c r="AJ187" s="8"/>
      <c r="AK187" s="8"/>
      <c r="AL187" s="1"/>
      <c r="AM187" s="1"/>
      <c r="AN187" s="9"/>
      <c r="AO187" s="9"/>
      <c r="AP187" s="9" t="s">
        <v>250</v>
      </c>
      <c r="AQ187" s="9" t="s">
        <v>46</v>
      </c>
      <c r="AR187" s="335">
        <f>AR186/(AR177*1000)</f>
        <v>0.20313359003837581</v>
      </c>
      <c r="AS187" s="335">
        <f t="shared" ref="AS187:AT187" si="65">AS186/(AS177*1000)</f>
        <v>0.18454689511803221</v>
      </c>
      <c r="AT187" s="335">
        <f t="shared" si="65"/>
        <v>0.17214304813039891</v>
      </c>
      <c r="AU187" s="334">
        <v>0.192</v>
      </c>
      <c r="AY187" s="38">
        <f>+AR187/AS187</f>
        <v>1.1007152946596903</v>
      </c>
      <c r="AZ187" s="38">
        <f>+AT187/AS187</f>
        <v>0.93278756069182267</v>
      </c>
      <c r="BB187" s="5"/>
      <c r="BC187" s="9"/>
      <c r="BD187" s="9"/>
      <c r="BE187" s="6"/>
      <c r="BF187" s="6"/>
      <c r="BG187" s="91"/>
      <c r="BH187" s="71"/>
      <c r="BI187" s="6"/>
      <c r="BJ187" s="8"/>
      <c r="BK187" s="6"/>
      <c r="BL187" s="6"/>
      <c r="BM187" s="6"/>
      <c r="BN187" s="6"/>
      <c r="BO187" s="6"/>
      <c r="BP187" s="8"/>
      <c r="BQ187" s="5"/>
    </row>
    <row r="188" spans="1:69" s="5" customFormat="1" ht="14.4" customHeight="1" x14ac:dyDescent="0.25">
      <c r="A188" s="25" t="s">
        <v>5</v>
      </c>
      <c r="B188" s="25"/>
      <c r="C188" s="25"/>
      <c r="D188" s="25"/>
      <c r="G188" s="86"/>
      <c r="H188" s="136" t="e">
        <f t="shared" si="54"/>
        <v>#REF!</v>
      </c>
      <c r="I188" s="152" t="str">
        <f>+I$74</f>
        <v>Stranski pridelki</v>
      </c>
      <c r="J188" s="165" t="str">
        <f>+J$74</f>
        <v>EUR/ha</v>
      </c>
      <c r="K188" s="171" t="e">
        <v>#REF!</v>
      </c>
      <c r="L188" s="171" t="e">
        <v>#REF!</v>
      </c>
      <c r="M188" s="172"/>
      <c r="N188" s="8"/>
      <c r="O188" s="171">
        <v>0</v>
      </c>
      <c r="P188" s="171">
        <v>0</v>
      </c>
      <c r="Q188" s="171">
        <v>0</v>
      </c>
      <c r="R188" s="171">
        <v>0</v>
      </c>
      <c r="S188" s="171">
        <v>0</v>
      </c>
      <c r="T188" s="171">
        <v>0</v>
      </c>
      <c r="U188" s="1"/>
      <c r="V188" s="1"/>
      <c r="W188" s="156"/>
      <c r="X188" s="171"/>
      <c r="Y188" s="171"/>
      <c r="Z188" s="171"/>
      <c r="AA188" s="171"/>
      <c r="AB188" s="156"/>
      <c r="AC188" s="4"/>
      <c r="AD188" s="4"/>
      <c r="AE188" s="339" t="s">
        <v>220</v>
      </c>
      <c r="AF188" s="340"/>
      <c r="AG188" s="340"/>
      <c r="AH188" s="340"/>
      <c r="AI188" s="340"/>
      <c r="AJ188" s="340"/>
      <c r="AK188" s="340"/>
      <c r="AL188" s="340"/>
      <c r="AM188" s="340"/>
      <c r="AN188" s="1"/>
      <c r="AO188" s="1"/>
      <c r="AP188" s="1" t="s">
        <v>251</v>
      </c>
      <c r="AQ188" s="1" t="s">
        <v>35</v>
      </c>
      <c r="AR188" s="336">
        <f>+S190</f>
        <v>276.49615469040617</v>
      </c>
      <c r="AS188" s="336">
        <f>+Q190</f>
        <v>276.64954161227428</v>
      </c>
      <c r="AT188" s="336">
        <f>+O190</f>
        <v>278.75722143036683</v>
      </c>
      <c r="AU188" s="24">
        <v>276.7</v>
      </c>
      <c r="AY188" s="38"/>
      <c r="AZ188" s="38"/>
      <c r="BC188" s="1"/>
      <c r="BD188" s="1"/>
      <c r="BE188" s="7"/>
      <c r="BF188" s="7"/>
      <c r="BG188" s="91"/>
      <c r="BH188" s="70"/>
      <c r="BI188" s="7"/>
      <c r="BJ188" s="4"/>
      <c r="BK188" s="7"/>
      <c r="BL188" s="7"/>
      <c r="BM188" s="7"/>
      <c r="BN188" s="7"/>
      <c r="BO188" s="7"/>
      <c r="BP188" s="4"/>
    </row>
    <row r="189" spans="1:69" s="5" customFormat="1" ht="14.4" customHeight="1" x14ac:dyDescent="0.25">
      <c r="A189" s="25"/>
      <c r="B189" s="25"/>
      <c r="C189" s="25"/>
      <c r="D189" s="25"/>
      <c r="G189" s="86"/>
      <c r="H189" s="136" t="e">
        <f t="shared" si="54"/>
        <v>#REF!</v>
      </c>
      <c r="I189" s="152" t="str">
        <f>+I$75</f>
        <v>Stroški glavnega pridelka</v>
      </c>
      <c r="J189" s="165" t="str">
        <f>+J$75</f>
        <v>EUR/ha</v>
      </c>
      <c r="K189" s="171" t="e">
        <f>+K187-K188</f>
        <v>#REF!</v>
      </c>
      <c r="L189" s="171" t="e">
        <f>+L187-L188</f>
        <v>#REF!</v>
      </c>
      <c r="M189" s="172" t="e">
        <f t="shared" ref="M189:M194" si="66">L189/K189*100</f>
        <v>#REF!</v>
      </c>
      <c r="N189" s="8"/>
      <c r="O189" s="171">
        <f t="shared" ref="O189:T189" si="67">+O187-O188</f>
        <v>2065.7165775647868</v>
      </c>
      <c r="P189" s="171">
        <f t="shared" si="67"/>
        <v>1940.2282753002185</v>
      </c>
      <c r="Q189" s="171">
        <f t="shared" si="67"/>
        <v>1845.4689511803222</v>
      </c>
      <c r="R189" s="171">
        <f t="shared" si="67"/>
        <v>1749.6544007299656</v>
      </c>
      <c r="S189" s="171">
        <f t="shared" si="67"/>
        <v>1625.0687203070065</v>
      </c>
      <c r="T189" s="171">
        <f t="shared" si="67"/>
        <v>1753.7001632060451</v>
      </c>
      <c r="U189" s="1"/>
      <c r="V189" s="1"/>
      <c r="W189" s="156">
        <f t="shared" si="58"/>
        <v>111.93450728301872</v>
      </c>
      <c r="X189" s="171">
        <f t="shared" si="58"/>
        <v>105.13470161929791</v>
      </c>
      <c r="Y189" s="171">
        <f t="shared" si="58"/>
        <v>100</v>
      </c>
      <c r="Z189" s="171">
        <f t="shared" si="58"/>
        <v>94.808119075150216</v>
      </c>
      <c r="AA189" s="171">
        <f t="shared" si="58"/>
        <v>88.057223572775229</v>
      </c>
      <c r="AB189" s="156">
        <f t="shared" si="58"/>
        <v>95.027345872409086</v>
      </c>
      <c r="AC189" s="4"/>
      <c r="AD189" s="4"/>
      <c r="AE189" s="192" t="str">
        <f>AF$10&amp;""&amp;$L$56&amp;", upoštevani stroški zmanjšani za subvencije"</f>
        <v>prva ocena letine 2021, upoštevani stroški zmanjšani za subvencije</v>
      </c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 t="s">
        <v>239</v>
      </c>
      <c r="AQ189" s="1" t="s">
        <v>35</v>
      </c>
      <c r="AR189" s="4">
        <f>AR186-AR188</f>
        <v>1348.5725656166003</v>
      </c>
      <c r="AS189" s="4">
        <f t="shared" ref="AS189:AU189" si="68">AS186-AS188</f>
        <v>1568.8194095680478</v>
      </c>
      <c r="AT189" s="4">
        <f t="shared" si="68"/>
        <v>1786.95935613442</v>
      </c>
      <c r="AU189" s="4">
        <f t="shared" si="68"/>
        <v>1640.7</v>
      </c>
      <c r="AY189" s="38">
        <f>+AR189/AS189</f>
        <v>0.85960981703299466</v>
      </c>
      <c r="AZ189" s="38">
        <f t="shared" ref="AZ189:AZ190" si="69">+AT189/AS189</f>
        <v>1.1390472002296517</v>
      </c>
      <c r="BC189" s="1"/>
      <c r="BD189" s="1"/>
      <c r="BE189" s="17"/>
      <c r="BF189" s="17"/>
      <c r="BG189" s="91"/>
      <c r="BH189" s="17"/>
      <c r="BI189" s="17"/>
      <c r="BJ189" s="17"/>
      <c r="BK189" s="17"/>
      <c r="BL189" s="17"/>
      <c r="BM189" s="17"/>
      <c r="BN189" s="17"/>
      <c r="BO189" s="17"/>
      <c r="BP189" s="4"/>
    </row>
    <row r="190" spans="1:69" s="5" customFormat="1" ht="11.25" customHeight="1" x14ac:dyDescent="0.25">
      <c r="A190" s="25" t="s">
        <v>4</v>
      </c>
      <c r="B190" s="25" t="s">
        <v>3</v>
      </c>
      <c r="C190" s="21" t="s">
        <v>2</v>
      </c>
      <c r="D190" s="21" t="s">
        <v>1</v>
      </c>
      <c r="G190" s="86"/>
      <c r="H190" s="136" t="e">
        <f t="shared" si="54"/>
        <v>#REF!</v>
      </c>
      <c r="I190" s="152" t="str">
        <f>+I$76</f>
        <v>Subvencije</v>
      </c>
      <c r="J190" s="165" t="str">
        <f>+J$76</f>
        <v>EUR/ha</v>
      </c>
      <c r="K190" s="171" t="e">
        <v>#REF!</v>
      </c>
      <c r="L190" s="171" t="e">
        <v>#REF!</v>
      </c>
      <c r="M190" s="172" t="e">
        <f t="shared" si="66"/>
        <v>#REF!</v>
      </c>
      <c r="N190" s="8"/>
      <c r="O190" s="171">
        <v>278.75722143036683</v>
      </c>
      <c r="P190" s="171">
        <v>276.72622254821476</v>
      </c>
      <c r="Q190" s="171">
        <v>276.64954161227428</v>
      </c>
      <c r="R190" s="171">
        <v>276.57284815134022</v>
      </c>
      <c r="S190" s="171">
        <v>276.49615469040617</v>
      </c>
      <c r="T190" s="171">
        <v>273.04796728323237</v>
      </c>
      <c r="U190" s="1"/>
      <c r="V190" s="1"/>
      <c r="W190" s="156">
        <f t="shared" si="58"/>
        <v>100.76185913983781</v>
      </c>
      <c r="X190" s="171">
        <f t="shared" si="58"/>
        <v>100.02771771660765</v>
      </c>
      <c r="Y190" s="171">
        <f t="shared" si="58"/>
        <v>100</v>
      </c>
      <c r="Z190" s="171">
        <f t="shared" si="58"/>
        <v>99.972277756005994</v>
      </c>
      <c r="AA190" s="171">
        <f t="shared" si="58"/>
        <v>99.944555512011988</v>
      </c>
      <c r="AB190" s="156">
        <f t="shared" si="58"/>
        <v>98.698145564220908</v>
      </c>
      <c r="AC190" s="4"/>
      <c r="AD190" s="4"/>
      <c r="AE190" s="4"/>
      <c r="AF190" s="4"/>
      <c r="AG190" s="4"/>
      <c r="AH190" s="4"/>
      <c r="AI190" s="4"/>
      <c r="AJ190" s="4"/>
      <c r="AK190" s="4"/>
      <c r="AL190" s="1"/>
      <c r="AM190" s="1"/>
      <c r="AN190" s="1"/>
      <c r="AO190" s="1"/>
      <c r="AP190" s="1" t="s">
        <v>252</v>
      </c>
      <c r="AQ190" s="1" t="s">
        <v>46</v>
      </c>
      <c r="AR190" s="328">
        <f>AR189/(AR177*1000)</f>
        <v>0.16857157070207504</v>
      </c>
      <c r="AS190" s="328">
        <f t="shared" ref="AS190:AU190" si="70">AS189/(AS177*1000)</f>
        <v>0.15688194095680477</v>
      </c>
      <c r="AT190" s="328">
        <f t="shared" si="70"/>
        <v>0.14891327967786833</v>
      </c>
      <c r="AU190" s="328">
        <f t="shared" si="70"/>
        <v>0.16406999999999999</v>
      </c>
      <c r="AW190" s="5">
        <f>+AU190/AS190</f>
        <v>1.0458182694538076</v>
      </c>
      <c r="AY190" s="38">
        <f>+AR190/AS190</f>
        <v>1.0745122712912434</v>
      </c>
      <c r="AZ190" s="38">
        <f t="shared" si="69"/>
        <v>0.94920600019137635</v>
      </c>
      <c r="BC190" s="1"/>
      <c r="BD190" s="1"/>
      <c r="BE190" s="6"/>
      <c r="BF190" s="6"/>
      <c r="BG190" s="91"/>
      <c r="BH190" s="70"/>
      <c r="BI190" s="6"/>
      <c r="BJ190" s="4"/>
      <c r="BK190" s="6"/>
      <c r="BL190" s="6"/>
      <c r="BM190" s="6"/>
      <c r="BN190" s="6"/>
      <c r="BO190" s="6"/>
      <c r="BP190" s="4"/>
    </row>
    <row r="191" spans="1:69" s="5" customFormat="1" ht="11.25" customHeight="1" x14ac:dyDescent="0.25">
      <c r="A191" s="25"/>
      <c r="B191" s="25"/>
      <c r="C191" s="25"/>
      <c r="D191" s="25"/>
      <c r="G191" s="86"/>
      <c r="H191" s="136" t="e">
        <f t="shared" si="54"/>
        <v>#REF!</v>
      </c>
      <c r="I191" s="151" t="str">
        <f>+I$77</f>
        <v>Stroški, zmanjšani za subvencije</v>
      </c>
      <c r="J191" s="168" t="str">
        <f>+J$77</f>
        <v>EUR/ha</v>
      </c>
      <c r="K191" s="169" t="e">
        <f>+K189-K190</f>
        <v>#REF!</v>
      </c>
      <c r="L191" s="169" t="e">
        <f>+L189-L190</f>
        <v>#REF!</v>
      </c>
      <c r="M191" s="170" t="e">
        <f t="shared" si="66"/>
        <v>#REF!</v>
      </c>
      <c r="N191" s="8"/>
      <c r="O191" s="169">
        <f t="shared" ref="O191:T191" si="71">+O189-O190</f>
        <v>1786.95935613442</v>
      </c>
      <c r="P191" s="169">
        <f t="shared" si="71"/>
        <v>1663.5020527520037</v>
      </c>
      <c r="Q191" s="169">
        <f t="shared" si="71"/>
        <v>1568.8194095680478</v>
      </c>
      <c r="R191" s="169">
        <f t="shared" si="71"/>
        <v>1473.0815525786254</v>
      </c>
      <c r="S191" s="169">
        <f t="shared" si="71"/>
        <v>1348.5725656166003</v>
      </c>
      <c r="T191" s="169">
        <f t="shared" si="71"/>
        <v>1480.6521959228128</v>
      </c>
      <c r="U191" s="9"/>
      <c r="V191" s="9"/>
      <c r="W191" s="155">
        <f t="shared" si="58"/>
        <v>113.90472002296517</v>
      </c>
      <c r="X191" s="169">
        <f t="shared" si="58"/>
        <v>106.03527994404564</v>
      </c>
      <c r="Y191" s="169">
        <f t="shared" si="58"/>
        <v>100</v>
      </c>
      <c r="Z191" s="169">
        <f t="shared" si="58"/>
        <v>93.897458406905969</v>
      </c>
      <c r="AA191" s="169">
        <f t="shared" si="58"/>
        <v>85.960981703299467</v>
      </c>
      <c r="AB191" s="155">
        <f t="shared" si="58"/>
        <v>94.380027866336079</v>
      </c>
      <c r="AC191" s="4"/>
      <c r="AD191" s="4"/>
      <c r="AE191" s="4"/>
      <c r="AF191" s="4"/>
      <c r="AG191" s="4"/>
      <c r="AH191" s="4"/>
      <c r="AI191" s="4"/>
      <c r="AJ191" s="4"/>
      <c r="AK191" s="4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Y191" s="38"/>
      <c r="AZ191" s="38"/>
      <c r="BC191" s="1"/>
      <c r="BD191" s="1"/>
      <c r="BE191" s="8"/>
      <c r="BF191" s="8"/>
      <c r="BG191" s="91"/>
      <c r="BH191" s="71"/>
      <c r="BI191" s="8"/>
      <c r="BJ191" s="8"/>
      <c r="BK191" s="8"/>
      <c r="BL191" s="8"/>
      <c r="BM191" s="8"/>
      <c r="BN191" s="8"/>
      <c r="BO191" s="8"/>
      <c r="BP191" s="4"/>
    </row>
    <row r="192" spans="1:69" s="3" customFormat="1" ht="11.25" customHeight="1" x14ac:dyDescent="0.25">
      <c r="A192" s="25"/>
      <c r="B192" s="25"/>
      <c r="C192" s="25"/>
      <c r="D192" s="25"/>
      <c r="F192" s="5"/>
      <c r="G192" s="86"/>
      <c r="H192" s="136" t="e">
        <f t="shared" si="54"/>
        <v>#REF!</v>
      </c>
      <c r="I192" s="153" t="str">
        <f>+I$78</f>
        <v>Stroški, zmanjšani za subvencije/kg</v>
      </c>
      <c r="J192" s="173" t="str">
        <f>+J$78</f>
        <v>EUR/kg</v>
      </c>
      <c r="K192" s="174" t="e">
        <f>+K191/K172</f>
        <v>#REF!</v>
      </c>
      <c r="L192" s="174" t="e">
        <f>+L191/L172</f>
        <v>#REF!</v>
      </c>
      <c r="M192" s="170" t="e">
        <f t="shared" si="66"/>
        <v>#REF!</v>
      </c>
      <c r="N192" s="8"/>
      <c r="O192" s="174">
        <f t="shared" ref="O192:T192" si="72">+O191/O172</f>
        <v>0.14891327967786833</v>
      </c>
      <c r="P192" s="174">
        <f t="shared" si="72"/>
        <v>0.15122745934109125</v>
      </c>
      <c r="Q192" s="174">
        <f t="shared" si="72"/>
        <v>0.15688194095680477</v>
      </c>
      <c r="R192" s="174">
        <f t="shared" si="72"/>
        <v>0.1636757280642917</v>
      </c>
      <c r="S192" s="174">
        <f t="shared" si="72"/>
        <v>0.16857157070207504</v>
      </c>
      <c r="T192" s="174">
        <f t="shared" si="72"/>
        <v>0.14806521959228128</v>
      </c>
      <c r="U192" s="1"/>
      <c r="V192" s="16"/>
      <c r="W192" s="157">
        <f t="shared" si="58"/>
        <v>94.920600019137638</v>
      </c>
      <c r="X192" s="183">
        <f t="shared" si="58"/>
        <v>96.39570904004151</v>
      </c>
      <c r="Y192" s="183">
        <f t="shared" si="58"/>
        <v>100</v>
      </c>
      <c r="Z192" s="183">
        <f t="shared" si="58"/>
        <v>104.33050934100663</v>
      </c>
      <c r="AA192" s="183">
        <f t="shared" si="58"/>
        <v>107.45122712912433</v>
      </c>
      <c r="AB192" s="157">
        <f t="shared" si="58"/>
        <v>94.380027866336093</v>
      </c>
      <c r="AC192" s="4"/>
      <c r="AD192" s="4"/>
      <c r="AE192" s="4"/>
      <c r="AF192" s="4"/>
      <c r="AG192" s="4"/>
      <c r="AH192" s="4"/>
      <c r="AI192" s="4"/>
      <c r="AJ192" s="4"/>
      <c r="AK192" s="4"/>
      <c r="AL192" s="1"/>
      <c r="AM192" s="1"/>
      <c r="AN192" s="16"/>
      <c r="AO192" s="16"/>
      <c r="AP192" s="16"/>
      <c r="AQ192" s="16"/>
      <c r="AR192" s="16"/>
      <c r="AS192" s="16"/>
      <c r="AT192" s="16"/>
      <c r="AU192" s="16"/>
      <c r="AY192" s="38"/>
      <c r="AZ192" s="38"/>
      <c r="BB192" s="5"/>
      <c r="BC192" s="16"/>
      <c r="BD192" s="16"/>
      <c r="BE192" s="15"/>
      <c r="BF192" s="15"/>
      <c r="BG192" s="91"/>
      <c r="BH192" s="75"/>
      <c r="BI192" s="14"/>
      <c r="BJ192" s="15"/>
      <c r="BK192" s="15"/>
      <c r="BL192" s="15"/>
      <c r="BM192" s="15"/>
      <c r="BN192" s="15"/>
      <c r="BO192" s="15"/>
      <c r="BP192" s="32"/>
      <c r="BQ192" s="5"/>
    </row>
    <row r="193" spans="1:69" s="3" customFormat="1" ht="11.25" customHeight="1" x14ac:dyDescent="0.25">
      <c r="A193" s="25" t="s">
        <v>30</v>
      </c>
      <c r="B193" s="25"/>
      <c r="C193" s="25"/>
      <c r="D193" s="25"/>
      <c r="F193" s="5"/>
      <c r="G193" s="86"/>
      <c r="H193" s="136" t="e">
        <f t="shared" si="54"/>
        <v>#REF!</v>
      </c>
      <c r="I193" s="16" t="str">
        <f>+I$79</f>
        <v>Prodajna cena</v>
      </c>
      <c r="J193" s="175" t="str">
        <f>+J$79</f>
        <v>EUR/kg</v>
      </c>
      <c r="K193" s="176" t="e">
        <v>#REF!</v>
      </c>
      <c r="L193" s="176" t="e">
        <v>#REF!</v>
      </c>
      <c r="M193" s="164" t="e">
        <f t="shared" si="66"/>
        <v>#REF!</v>
      </c>
      <c r="N193" s="8"/>
      <c r="O193" s="176">
        <v>0.21299999999999999</v>
      </c>
      <c r="P193" s="176">
        <v>0.21299999999999999</v>
      </c>
      <c r="Q193" s="176">
        <v>0.21299999999999999</v>
      </c>
      <c r="R193" s="176">
        <v>0.21299999999999999</v>
      </c>
      <c r="S193" s="176">
        <v>0.21299999999999999</v>
      </c>
      <c r="T193" s="176">
        <v>0.21299999999999999</v>
      </c>
      <c r="U193" s="1"/>
      <c r="V193" s="16"/>
      <c r="W193" s="73">
        <f t="shared" si="58"/>
        <v>100</v>
      </c>
      <c r="X193" s="184">
        <f t="shared" si="58"/>
        <v>100</v>
      </c>
      <c r="Y193" s="184">
        <f t="shared" si="58"/>
        <v>100</v>
      </c>
      <c r="Z193" s="184">
        <f t="shared" si="58"/>
        <v>100</v>
      </c>
      <c r="AA193" s="184">
        <f t="shared" si="58"/>
        <v>100</v>
      </c>
      <c r="AB193" s="73">
        <f t="shared" si="58"/>
        <v>100</v>
      </c>
      <c r="AC193" s="4"/>
      <c r="AD193" s="4"/>
      <c r="AE193" s="4"/>
      <c r="AF193" s="4"/>
      <c r="AG193" s="4"/>
      <c r="AH193" s="4"/>
      <c r="AI193" s="4"/>
      <c r="AJ193" s="4"/>
      <c r="AK193" s="4"/>
      <c r="AL193" s="1"/>
      <c r="AM193" s="1"/>
      <c r="AN193" s="16"/>
      <c r="AO193" s="16"/>
      <c r="AP193" s="16"/>
      <c r="AQ193" s="16"/>
      <c r="AR193" s="16"/>
      <c r="AS193" s="16"/>
      <c r="AT193" s="16"/>
      <c r="AU193" s="333">
        <v>1640.7</v>
      </c>
      <c r="AY193" s="38"/>
      <c r="AZ193" s="38"/>
      <c r="BB193" s="5"/>
      <c r="BC193" s="16"/>
      <c r="BD193" s="16"/>
      <c r="BE193" s="74"/>
      <c r="BF193" s="74"/>
      <c r="BG193" s="91"/>
      <c r="BH193" s="75"/>
      <c r="BI193" s="6"/>
      <c r="BJ193" s="15"/>
      <c r="BK193" s="74"/>
      <c r="BL193" s="74"/>
      <c r="BM193" s="74"/>
      <c r="BN193" s="74"/>
      <c r="BO193" s="74"/>
      <c r="BP193" s="32"/>
      <c r="BQ193" s="5"/>
    </row>
    <row r="194" spans="1:69" s="10" customFormat="1" ht="11.25" customHeight="1" x14ac:dyDescent="0.25">
      <c r="A194" s="25"/>
      <c r="B194" s="25"/>
      <c r="C194" s="25"/>
      <c r="D194" s="25"/>
      <c r="F194" s="5"/>
      <c r="G194" s="86"/>
      <c r="H194" s="136" t="e">
        <f t="shared" si="54"/>
        <v>#REF!</v>
      </c>
      <c r="I194" s="9" t="str">
        <f>+I$80</f>
        <v>Vrednost proizvodnje skupaj</v>
      </c>
      <c r="J194" s="159" t="str">
        <f>+J$80</f>
        <v>EUR/ha</v>
      </c>
      <c r="K194" s="163" t="e">
        <f>+K193*K172+K188+K190</f>
        <v>#REF!</v>
      </c>
      <c r="L194" s="163" t="e">
        <f>+L193*L172+L188+L190</f>
        <v>#REF!</v>
      </c>
      <c r="M194" s="164" t="e">
        <f t="shared" si="66"/>
        <v>#REF!</v>
      </c>
      <c r="N194" s="8"/>
      <c r="O194" s="163">
        <f t="shared" ref="O194:T194" si="73">+O193*O172+O188+O190</f>
        <v>2834.7572214303668</v>
      </c>
      <c r="P194" s="163">
        <f t="shared" si="73"/>
        <v>2619.7262225482145</v>
      </c>
      <c r="Q194" s="163">
        <f t="shared" si="73"/>
        <v>2406.6495416122743</v>
      </c>
      <c r="R194" s="163">
        <f t="shared" si="73"/>
        <v>2193.5728481513402</v>
      </c>
      <c r="S194" s="163">
        <f t="shared" si="73"/>
        <v>1980.4961546904062</v>
      </c>
      <c r="T194" s="163">
        <f t="shared" si="73"/>
        <v>2403.0479672832325</v>
      </c>
      <c r="U194" s="1"/>
      <c r="V194" s="9"/>
      <c r="W194" s="8">
        <f t="shared" si="58"/>
        <v>117.78853432607777</v>
      </c>
      <c r="X194" s="163">
        <f t="shared" si="58"/>
        <v>108.85366470072726</v>
      </c>
      <c r="Y194" s="163">
        <f t="shared" si="58"/>
        <v>100</v>
      </c>
      <c r="Z194" s="163">
        <f t="shared" si="58"/>
        <v>91.146334778839929</v>
      </c>
      <c r="AA194" s="163">
        <f t="shared" si="58"/>
        <v>82.292669557679858</v>
      </c>
      <c r="AB194" s="8">
        <f t="shared" si="58"/>
        <v>99.850349032263793</v>
      </c>
      <c r="AC194" s="8"/>
      <c r="AD194" s="8"/>
      <c r="AE194" s="8"/>
      <c r="AF194" s="8"/>
      <c r="AG194" s="8"/>
      <c r="AH194" s="8"/>
      <c r="AI194" s="8"/>
      <c r="AJ194" s="8"/>
      <c r="AK194" s="8"/>
      <c r="AL194" s="1"/>
      <c r="AM194" s="1"/>
      <c r="AN194" s="9"/>
      <c r="AO194" s="9"/>
      <c r="AP194" s="9"/>
      <c r="AQ194" s="9"/>
      <c r="AR194" s="9"/>
      <c r="AS194" s="9"/>
      <c r="AT194" s="9"/>
      <c r="AU194" s="24">
        <v>0.16400000000000001</v>
      </c>
      <c r="AY194" s="38"/>
      <c r="AZ194" s="38"/>
      <c r="BB194" s="5"/>
      <c r="BC194" s="9"/>
      <c r="BD194" s="9"/>
      <c r="BE194" s="8"/>
      <c r="BF194" s="8"/>
      <c r="BG194" s="91"/>
      <c r="BH194" s="71"/>
      <c r="BI194" s="8"/>
      <c r="BJ194" s="8"/>
      <c r="BK194" s="8"/>
      <c r="BL194" s="8"/>
      <c r="BM194" s="8"/>
      <c r="BN194" s="8"/>
      <c r="BO194" s="8"/>
      <c r="BP194" s="8"/>
      <c r="BQ194" s="5"/>
    </row>
    <row r="195" spans="1:69" s="5" customFormat="1" ht="11.25" customHeight="1" x14ac:dyDescent="0.25">
      <c r="A195" s="25"/>
      <c r="B195" s="25"/>
      <c r="C195" s="25"/>
      <c r="D195" s="25"/>
      <c r="G195" s="86"/>
      <c r="H195" s="136" t="e">
        <f t="shared" si="54"/>
        <v>#REF!</v>
      </c>
      <c r="I195" s="1" t="str">
        <f>+I$81</f>
        <v xml:space="preserve">  Od tega interna realizacija</v>
      </c>
      <c r="J195" s="162" t="str">
        <f>+J$81</f>
        <v>EUR/ha</v>
      </c>
      <c r="K195" s="177" t="e">
        <f>+K194-K197</f>
        <v>#REF!</v>
      </c>
      <c r="L195" s="177" t="e">
        <f>+L194-L197</f>
        <v>#REF!</v>
      </c>
      <c r="M195" s="164"/>
      <c r="N195" s="8"/>
      <c r="O195" s="177">
        <f t="shared" ref="O195:T195" si="74">+O194-O197</f>
        <v>0</v>
      </c>
      <c r="P195" s="177">
        <f t="shared" si="74"/>
        <v>0</v>
      </c>
      <c r="Q195" s="177">
        <f t="shared" si="74"/>
        <v>0</v>
      </c>
      <c r="R195" s="177">
        <f t="shared" si="74"/>
        <v>0</v>
      </c>
      <c r="S195" s="177">
        <f t="shared" si="74"/>
        <v>0</v>
      </c>
      <c r="T195" s="177">
        <f t="shared" si="74"/>
        <v>0</v>
      </c>
      <c r="U195" s="1"/>
      <c r="V195" s="1"/>
      <c r="W195" s="4"/>
      <c r="X195" s="177"/>
      <c r="Y195" s="177"/>
      <c r="Z195" s="177"/>
      <c r="AA195" s="177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Y195" s="38"/>
      <c r="AZ195" s="38"/>
      <c r="BC195" s="1"/>
      <c r="BD195" s="1"/>
      <c r="BE195" s="4"/>
      <c r="BF195" s="4"/>
      <c r="BG195" s="91"/>
      <c r="BH195" s="70"/>
      <c r="BI195" s="4"/>
      <c r="BJ195" s="8"/>
      <c r="BK195" s="4"/>
      <c r="BL195" s="4"/>
      <c r="BM195" s="4"/>
      <c r="BN195" s="4"/>
      <c r="BO195" s="4"/>
      <c r="BP195" s="4"/>
    </row>
    <row r="196" spans="1:69" s="5" customFormat="1" ht="11.25" customHeight="1" x14ac:dyDescent="0.25">
      <c r="A196" s="25"/>
      <c r="B196" s="25"/>
      <c r="C196" s="25"/>
      <c r="D196" s="25"/>
      <c r="G196" s="86"/>
      <c r="H196" s="136" t="e">
        <f t="shared" si="54"/>
        <v>#REF!</v>
      </c>
      <c r="I196" s="151" t="str">
        <f>+I$82</f>
        <v>OBRAČUN DOHODKA</v>
      </c>
      <c r="J196" s="165"/>
      <c r="K196" s="171"/>
      <c r="L196" s="171"/>
      <c r="M196" s="170"/>
      <c r="N196" s="8"/>
      <c r="O196" s="171"/>
      <c r="P196" s="171"/>
      <c r="Q196" s="171"/>
      <c r="R196" s="171"/>
      <c r="S196" s="171"/>
      <c r="T196" s="171"/>
      <c r="U196" s="1"/>
      <c r="V196" s="1"/>
      <c r="W196" s="156"/>
      <c r="X196" s="171"/>
      <c r="Y196" s="171"/>
      <c r="Z196" s="171"/>
      <c r="AA196" s="171"/>
      <c r="AB196" s="156"/>
      <c r="AC196" s="4"/>
      <c r="AD196" s="4"/>
      <c r="AE196" s="4"/>
      <c r="AF196" s="4"/>
      <c r="AG196" s="4"/>
      <c r="AH196" s="4"/>
      <c r="AI196" s="4"/>
      <c r="AJ196" s="4"/>
      <c r="AK196" s="4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Y196" s="38"/>
      <c r="AZ196" s="38"/>
      <c r="BC196" s="9"/>
      <c r="BD196" s="1"/>
      <c r="BE196" s="4"/>
      <c r="BF196" s="4"/>
      <c r="BG196" s="91"/>
      <c r="BH196" s="70"/>
      <c r="BI196" s="4"/>
      <c r="BJ196" s="8"/>
      <c r="BK196" s="4"/>
      <c r="BL196" s="4"/>
      <c r="BM196" s="4"/>
      <c r="BN196" s="4"/>
      <c r="BO196" s="4"/>
      <c r="BP196" s="4"/>
    </row>
    <row r="197" spans="1:69" s="5" customFormat="1" ht="11.25" customHeight="1" x14ac:dyDescent="0.25">
      <c r="A197" s="25" t="s">
        <v>29</v>
      </c>
      <c r="B197" s="25"/>
      <c r="C197" s="25"/>
      <c r="D197" s="25"/>
      <c r="G197" s="86"/>
      <c r="H197" s="136" t="e">
        <f t="shared" si="54"/>
        <v>#REF!</v>
      </c>
      <c r="I197" s="152" t="str">
        <f>+I$83</f>
        <v>Vrednost finalne proizvodnje skupaj</v>
      </c>
      <c r="J197" s="165" t="str">
        <f>+J$83</f>
        <v>EUR/ha</v>
      </c>
      <c r="K197" s="171" t="e">
        <v>#REF!</v>
      </c>
      <c r="L197" s="171" t="e">
        <v>#REF!</v>
      </c>
      <c r="M197" s="172" t="e">
        <f>L197/K197*100</f>
        <v>#REF!</v>
      </c>
      <c r="N197" s="8"/>
      <c r="O197" s="171">
        <v>2834.7572214303668</v>
      </c>
      <c r="P197" s="171">
        <v>2619.7262225482145</v>
      </c>
      <c r="Q197" s="171">
        <v>2406.6495416122743</v>
      </c>
      <c r="R197" s="171">
        <v>2193.5728481513402</v>
      </c>
      <c r="S197" s="171">
        <v>1980.4961546904062</v>
      </c>
      <c r="T197" s="171">
        <v>2403.0479672832325</v>
      </c>
      <c r="U197" s="1"/>
      <c r="V197" s="1"/>
      <c r="W197" s="156">
        <f t="shared" si="58"/>
        <v>117.78853432607777</v>
      </c>
      <c r="X197" s="171">
        <f t="shared" si="58"/>
        <v>108.85366470072726</v>
      </c>
      <c r="Y197" s="171">
        <f t="shared" si="58"/>
        <v>100</v>
      </c>
      <c r="Z197" s="171">
        <f t="shared" si="58"/>
        <v>91.146334778839929</v>
      </c>
      <c r="AA197" s="171">
        <f t="shared" si="58"/>
        <v>82.292669557679858</v>
      </c>
      <c r="AB197" s="156">
        <f t="shared" si="58"/>
        <v>99.850349032263793</v>
      </c>
      <c r="AC197" s="4"/>
      <c r="AD197" s="4"/>
      <c r="AE197" s="4"/>
      <c r="AF197" s="4"/>
      <c r="AG197" s="4"/>
      <c r="AH197" s="4"/>
      <c r="AI197" s="4"/>
      <c r="AJ197" s="4"/>
      <c r="AK197" s="4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Y197" s="38"/>
      <c r="AZ197" s="38"/>
      <c r="BC197" s="1"/>
      <c r="BD197" s="1"/>
      <c r="BE197" s="41"/>
      <c r="BF197" s="41"/>
      <c r="BG197" s="91"/>
      <c r="BH197" s="70"/>
      <c r="BI197" s="41"/>
      <c r="BJ197" s="4"/>
      <c r="BK197" s="41"/>
      <c r="BL197" s="41"/>
      <c r="BM197" s="41"/>
      <c r="BN197" s="41"/>
      <c r="BO197" s="41"/>
      <c r="BP197" s="4"/>
    </row>
    <row r="198" spans="1:69" s="5" customFormat="1" ht="11.25" customHeight="1" x14ac:dyDescent="0.25">
      <c r="A198" s="25" t="s">
        <v>28</v>
      </c>
      <c r="B198" s="25"/>
      <c r="C198" s="25"/>
      <c r="D198" s="25"/>
      <c r="G198" s="86"/>
      <c r="H198" s="136" t="e">
        <f t="shared" si="54"/>
        <v>#REF!</v>
      </c>
      <c r="I198" s="152" t="str">
        <f>+I$84</f>
        <v>Stroški zmanjšani za interno realizacijo</v>
      </c>
      <c r="J198" s="165" t="str">
        <f>+J$84</f>
        <v>EUR/ha</v>
      </c>
      <c r="K198" s="171" t="e">
        <v>#REF!</v>
      </c>
      <c r="L198" s="171" t="e">
        <v>#REF!</v>
      </c>
      <c r="M198" s="172" t="e">
        <f>L198/K198*100</f>
        <v>#REF!</v>
      </c>
      <c r="N198" s="8"/>
      <c r="O198" s="171">
        <v>2065.7165775647868</v>
      </c>
      <c r="P198" s="171">
        <v>1940.2282753002187</v>
      </c>
      <c r="Q198" s="171">
        <v>1845.4689511803222</v>
      </c>
      <c r="R198" s="171">
        <v>1749.6544007299651</v>
      </c>
      <c r="S198" s="171">
        <v>1625.0687203070065</v>
      </c>
      <c r="T198" s="171">
        <v>1753.7001632060451</v>
      </c>
      <c r="U198" s="1"/>
      <c r="V198" s="1"/>
      <c r="W198" s="156">
        <f t="shared" si="58"/>
        <v>111.93450728301872</v>
      </c>
      <c r="X198" s="171">
        <f t="shared" si="58"/>
        <v>105.13470161929791</v>
      </c>
      <c r="Y198" s="171">
        <f t="shared" si="58"/>
        <v>100</v>
      </c>
      <c r="Z198" s="171">
        <f t="shared" si="58"/>
        <v>94.808119075150188</v>
      </c>
      <c r="AA198" s="171">
        <f t="shared" si="58"/>
        <v>88.057223572775229</v>
      </c>
      <c r="AB198" s="156">
        <f t="shared" si="58"/>
        <v>95.027345872409086</v>
      </c>
      <c r="AC198" s="4"/>
      <c r="AD198" s="4"/>
      <c r="AE198" s="4"/>
      <c r="AF198" s="4"/>
      <c r="AG198" s="4"/>
      <c r="AH198" s="4"/>
      <c r="AI198" s="4"/>
      <c r="AJ198" s="4"/>
      <c r="AK198" s="4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Y198" s="38"/>
      <c r="AZ198" s="38"/>
      <c r="BC198" s="1"/>
      <c r="BD198" s="1"/>
      <c r="BE198" s="7"/>
      <c r="BF198" s="7"/>
      <c r="BG198" s="91"/>
      <c r="BH198" s="70"/>
      <c r="BI198" s="7"/>
      <c r="BJ198" s="4"/>
      <c r="BK198" s="7"/>
      <c r="BL198" s="7"/>
      <c r="BM198" s="7"/>
      <c r="BN198" s="7"/>
      <c r="BO198" s="7"/>
      <c r="BP198" s="4"/>
    </row>
    <row r="199" spans="1:69" s="5" customFormat="1" ht="11.25" customHeight="1" x14ac:dyDescent="0.25">
      <c r="A199" s="25" t="s">
        <v>27</v>
      </c>
      <c r="B199" s="25"/>
      <c r="C199" s="25"/>
      <c r="D199" s="25"/>
      <c r="G199" s="86"/>
      <c r="H199" s="136" t="e">
        <f t="shared" si="54"/>
        <v>#REF!</v>
      </c>
      <c r="I199" s="152" t="str">
        <f>+I$85</f>
        <v xml:space="preserve">  Stroški kupljenega blaga in storitev</v>
      </c>
      <c r="J199" s="165" t="str">
        <f>+J$85</f>
        <v>EUR/ha</v>
      </c>
      <c r="K199" s="171" t="e">
        <v>#REF!</v>
      </c>
      <c r="L199" s="171" t="e">
        <v>#REF!</v>
      </c>
      <c r="M199" s="172" t="e">
        <f>L199/K199*100</f>
        <v>#REF!</v>
      </c>
      <c r="N199" s="8"/>
      <c r="O199" s="171">
        <v>1636.9814545763793</v>
      </c>
      <c r="P199" s="171">
        <v>1533.12272480057</v>
      </c>
      <c r="Q199" s="171">
        <v>1441.1151211025733</v>
      </c>
      <c r="R199" s="171">
        <v>1348.090691768647</v>
      </c>
      <c r="S199" s="171">
        <v>1226.7509124347225</v>
      </c>
      <c r="T199" s="171">
        <v>1411.2422339206339</v>
      </c>
      <c r="U199" s="1"/>
      <c r="V199" s="1"/>
      <c r="W199" s="156">
        <f t="shared" si="58"/>
        <v>113.59130374844391</v>
      </c>
      <c r="X199" s="171">
        <f t="shared" si="58"/>
        <v>106.38447285374421</v>
      </c>
      <c r="Y199" s="171">
        <f t="shared" si="58"/>
        <v>100</v>
      </c>
      <c r="Z199" s="171">
        <f t="shared" si="58"/>
        <v>93.54496889445204</v>
      </c>
      <c r="AA199" s="171">
        <f t="shared" si="58"/>
        <v>85.125115576898239</v>
      </c>
      <c r="AB199" s="156">
        <f t="shared" si="58"/>
        <v>97.927099178649641</v>
      </c>
      <c r="AC199" s="4"/>
      <c r="AD199" s="4"/>
      <c r="AE199" s="4"/>
      <c r="AF199" s="4"/>
      <c r="AG199" s="4"/>
      <c r="AH199" s="4"/>
      <c r="AI199" s="4"/>
      <c r="AJ199" s="4"/>
      <c r="AK199" s="4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Y199" s="38"/>
      <c r="AZ199" s="38"/>
      <c r="BC199" s="1"/>
      <c r="BD199" s="1"/>
      <c r="BE199" s="7"/>
      <c r="BF199" s="7"/>
      <c r="BG199" s="91"/>
      <c r="BH199" s="70"/>
      <c r="BI199" s="7"/>
      <c r="BJ199" s="4"/>
      <c r="BK199" s="7"/>
      <c r="BL199" s="7"/>
      <c r="BM199" s="7"/>
      <c r="BN199" s="7"/>
      <c r="BO199" s="7"/>
      <c r="BP199" s="4"/>
    </row>
    <row r="200" spans="1:69" s="5" customFormat="1" ht="11.25" customHeight="1" x14ac:dyDescent="0.25">
      <c r="A200" s="25" t="s">
        <v>26</v>
      </c>
      <c r="B200" s="25"/>
      <c r="C200" s="25"/>
      <c r="D200" s="25"/>
      <c r="G200" s="86"/>
      <c r="H200" s="136" t="e">
        <f t="shared" si="54"/>
        <v>#REF!</v>
      </c>
      <c r="I200" s="152" t="str">
        <f>+I$86</f>
        <v xml:space="preserve">  Amortizacija</v>
      </c>
      <c r="J200" s="165" t="str">
        <f>+J$86</f>
        <v>EUR/ha</v>
      </c>
      <c r="K200" s="171" t="e">
        <v>#REF!</v>
      </c>
      <c r="L200" s="171" t="e">
        <v>#REF!</v>
      </c>
      <c r="M200" s="172" t="e">
        <f>L200/K200*100</f>
        <v>#REF!</v>
      </c>
      <c r="N200" s="8"/>
      <c r="O200" s="171">
        <v>134.05873028598077</v>
      </c>
      <c r="P200" s="171">
        <v>126.44486894702014</v>
      </c>
      <c r="Q200" s="171">
        <v>124.61755485290999</v>
      </c>
      <c r="R200" s="171">
        <v>122.78566195373712</v>
      </c>
      <c r="S200" s="171">
        <v>120.95376905456423</v>
      </c>
      <c r="T200" s="171">
        <v>103.83833665842559</v>
      </c>
      <c r="U200" s="1"/>
      <c r="V200" s="1"/>
      <c r="W200" s="156">
        <f t="shared" si="58"/>
        <v>107.57611994892254</v>
      </c>
      <c r="X200" s="171">
        <f t="shared" si="58"/>
        <v>101.4663376249574</v>
      </c>
      <c r="Y200" s="171">
        <f t="shared" si="58"/>
        <v>100</v>
      </c>
      <c r="Z200" s="171">
        <f t="shared" si="58"/>
        <v>98.52998808929037</v>
      </c>
      <c r="AA200" s="171">
        <f t="shared" si="58"/>
        <v>97.059976178580754</v>
      </c>
      <c r="AB200" s="156">
        <f t="shared" si="58"/>
        <v>83.325609125447244</v>
      </c>
      <c r="AC200" s="4"/>
      <c r="AD200" s="4"/>
      <c r="AE200" s="4"/>
      <c r="AF200" s="4"/>
      <c r="AG200" s="4"/>
      <c r="AH200" s="4"/>
      <c r="AI200" s="4"/>
      <c r="AJ200" s="4"/>
      <c r="AK200" s="4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Y200" s="38"/>
      <c r="AZ200" s="38"/>
      <c r="BC200" s="1"/>
      <c r="BD200" s="1"/>
      <c r="BE200" s="41"/>
      <c r="BF200" s="41"/>
      <c r="BG200" s="91"/>
      <c r="BH200" s="70"/>
      <c r="BI200" s="41"/>
      <c r="BJ200" s="4"/>
      <c r="BK200" s="41"/>
      <c r="BL200" s="41"/>
      <c r="BM200" s="41"/>
      <c r="BN200" s="41"/>
      <c r="BO200" s="41"/>
      <c r="BP200" s="4"/>
    </row>
    <row r="201" spans="1:69" s="10" customFormat="1" ht="11.25" customHeight="1" x14ac:dyDescent="0.25">
      <c r="A201" s="25"/>
      <c r="B201" s="25"/>
      <c r="C201" s="25"/>
      <c r="D201" s="25"/>
      <c r="F201" s="5"/>
      <c r="G201" s="86"/>
      <c r="H201" s="136" t="e">
        <f t="shared" si="54"/>
        <v>#REF!</v>
      </c>
      <c r="I201" s="151" t="str">
        <f>+I$87</f>
        <v xml:space="preserve">  Stroški domačega dela in kapitala</v>
      </c>
      <c r="J201" s="168" t="str">
        <f>+J$87</f>
        <v>EUR/ha</v>
      </c>
      <c r="K201" s="169" t="e">
        <f>+K198-K199-K200</f>
        <v>#REF!</v>
      </c>
      <c r="L201" s="169" t="e">
        <f>+L198-L199-L200</f>
        <v>#REF!</v>
      </c>
      <c r="M201" s="170" t="e">
        <f>L201/K201*100</f>
        <v>#REF!</v>
      </c>
      <c r="N201" s="8"/>
      <c r="O201" s="169">
        <f t="shared" ref="O201:T201" si="75">+O198-O199-O200</f>
        <v>294.67639270242671</v>
      </c>
      <c r="P201" s="169">
        <f t="shared" si="75"/>
        <v>280.66068155262849</v>
      </c>
      <c r="Q201" s="169">
        <f t="shared" si="75"/>
        <v>279.73627522483889</v>
      </c>
      <c r="R201" s="169">
        <f t="shared" si="75"/>
        <v>278.77804700758094</v>
      </c>
      <c r="S201" s="169">
        <f t="shared" si="75"/>
        <v>277.36403881771975</v>
      </c>
      <c r="T201" s="169">
        <f t="shared" si="75"/>
        <v>238.61959262698559</v>
      </c>
      <c r="U201" s="1"/>
      <c r="V201" s="9"/>
      <c r="W201" s="155">
        <f t="shared" si="58"/>
        <v>105.34078659107749</v>
      </c>
      <c r="X201" s="169">
        <f t="shared" si="58"/>
        <v>100.33045636539151</v>
      </c>
      <c r="Y201" s="169">
        <f t="shared" si="58"/>
        <v>100</v>
      </c>
      <c r="Z201" s="169">
        <f t="shared" si="58"/>
        <v>99.657453000513513</v>
      </c>
      <c r="AA201" s="169">
        <f t="shared" si="58"/>
        <v>99.151973977914579</v>
      </c>
      <c r="AB201" s="155">
        <f t="shared" si="58"/>
        <v>85.301626482012153</v>
      </c>
      <c r="AC201" s="8"/>
      <c r="AD201" s="8"/>
      <c r="AE201" s="8"/>
      <c r="AF201" s="8"/>
      <c r="AG201" s="8"/>
      <c r="AH201" s="8"/>
      <c r="AI201" s="8"/>
      <c r="AJ201" s="8"/>
      <c r="AK201" s="8"/>
      <c r="AL201" s="1"/>
      <c r="AM201" s="1"/>
      <c r="AN201" s="9"/>
      <c r="AO201" s="9"/>
      <c r="AP201" s="9"/>
      <c r="AQ201" s="9"/>
      <c r="AR201" s="9"/>
      <c r="AS201" s="9"/>
      <c r="AT201" s="9"/>
      <c r="AU201" s="9"/>
      <c r="AY201" s="38"/>
      <c r="AZ201" s="38"/>
      <c r="BB201" s="5"/>
      <c r="BC201" s="9"/>
      <c r="BD201" s="9"/>
      <c r="BE201" s="8"/>
      <c r="BF201" s="8"/>
      <c r="BG201" s="91"/>
      <c r="BH201" s="71"/>
      <c r="BI201" s="8"/>
      <c r="BJ201" s="8"/>
      <c r="BK201" s="8"/>
      <c r="BL201" s="8"/>
      <c r="BM201" s="8"/>
      <c r="BN201" s="8"/>
      <c r="BO201" s="8"/>
      <c r="BP201" s="8"/>
      <c r="BQ201" s="5"/>
    </row>
    <row r="202" spans="1:69" s="5" customFormat="1" ht="11.25" customHeight="1" x14ac:dyDescent="0.25">
      <c r="A202" s="25"/>
      <c r="B202" s="25"/>
      <c r="C202" s="25"/>
      <c r="D202" s="25"/>
      <c r="G202" s="86"/>
      <c r="H202" s="136" t="e">
        <f t="shared" si="54"/>
        <v>#REF!</v>
      </c>
      <c r="I202" s="152" t="str">
        <f>+I$88</f>
        <v xml:space="preserve">Bruto dodana vrednost </v>
      </c>
      <c r="J202" s="165" t="str">
        <f>+J$88</f>
        <v>EUR/ha</v>
      </c>
      <c r="K202" s="171" t="e">
        <f>+K197-K199</f>
        <v>#REF!</v>
      </c>
      <c r="L202" s="171" t="e">
        <f>+L197-L199</f>
        <v>#REF!</v>
      </c>
      <c r="M202" s="172"/>
      <c r="N202" s="8"/>
      <c r="O202" s="171">
        <f t="shared" ref="O202:T202" si="76">+O197-O199</f>
        <v>1197.7757668539875</v>
      </c>
      <c r="P202" s="171">
        <f t="shared" si="76"/>
        <v>1086.6034977476445</v>
      </c>
      <c r="Q202" s="171">
        <f t="shared" si="76"/>
        <v>965.53442050970102</v>
      </c>
      <c r="R202" s="171">
        <f t="shared" si="76"/>
        <v>845.48215638269312</v>
      </c>
      <c r="S202" s="171">
        <f t="shared" si="76"/>
        <v>753.74524225568371</v>
      </c>
      <c r="T202" s="171">
        <f t="shared" si="76"/>
        <v>991.80573336259863</v>
      </c>
      <c r="U202" s="1"/>
      <c r="V202" s="1"/>
      <c r="W202" s="156">
        <f t="shared" si="58"/>
        <v>124.05314004462807</v>
      </c>
      <c r="X202" s="171">
        <f t="shared" si="58"/>
        <v>112.53907418173985</v>
      </c>
      <c r="Y202" s="171">
        <f t="shared" si="58"/>
        <v>100</v>
      </c>
      <c r="Z202" s="171">
        <f t="shared" si="58"/>
        <v>87.566236730987498</v>
      </c>
      <c r="AA202" s="171">
        <f t="shared" si="58"/>
        <v>78.065082533027166</v>
      </c>
      <c r="AB202" s="156">
        <f t="shared" si="58"/>
        <v>102.72090899038371</v>
      </c>
      <c r="AC202" s="4"/>
      <c r="AD202" s="4"/>
      <c r="AE202" s="4"/>
      <c r="AF202" s="4"/>
      <c r="AG202" s="4"/>
      <c r="AH202" s="4"/>
      <c r="AI202" s="4"/>
      <c r="AJ202" s="4"/>
      <c r="AK202" s="4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Y202" s="38"/>
      <c r="AZ202" s="38"/>
      <c r="BC202" s="1"/>
      <c r="BD202" s="1"/>
      <c r="BE202" s="4"/>
      <c r="BF202" s="4"/>
      <c r="BG202" s="91"/>
      <c r="BH202" s="70"/>
      <c r="BI202" s="4"/>
      <c r="BJ202" s="4"/>
      <c r="BK202" s="4"/>
      <c r="BL202" s="4"/>
      <c r="BM202" s="4"/>
      <c r="BN202" s="4"/>
      <c r="BO202" s="4"/>
      <c r="BP202" s="4"/>
    </row>
    <row r="203" spans="1:69" s="10" customFormat="1" ht="11.25" customHeight="1" x14ac:dyDescent="0.25">
      <c r="A203" s="25"/>
      <c r="B203" s="25"/>
      <c r="C203" s="25"/>
      <c r="D203" s="25"/>
      <c r="F203" s="5"/>
      <c r="G203" s="86"/>
      <c r="H203" s="136" t="e">
        <f t="shared" si="54"/>
        <v>#REF!</v>
      </c>
      <c r="I203" s="151" t="str">
        <f>+I$89</f>
        <v>Neto dodana vrednost</v>
      </c>
      <c r="J203" s="168" t="str">
        <f>+J$89</f>
        <v>EUR/ha</v>
      </c>
      <c r="K203" s="169" t="e">
        <f>+K202-K200</f>
        <v>#REF!</v>
      </c>
      <c r="L203" s="169" t="e">
        <f>+L202-L200</f>
        <v>#REF!</v>
      </c>
      <c r="M203" s="170"/>
      <c r="N203" s="8"/>
      <c r="O203" s="169">
        <f t="shared" ref="O203:T203" si="77">+O202-O200</f>
        <v>1063.7170365680067</v>
      </c>
      <c r="P203" s="169">
        <f t="shared" si="77"/>
        <v>960.15862880062434</v>
      </c>
      <c r="Q203" s="169">
        <f t="shared" si="77"/>
        <v>840.91686565679106</v>
      </c>
      <c r="R203" s="169">
        <f t="shared" si="77"/>
        <v>722.69649442895604</v>
      </c>
      <c r="S203" s="169">
        <f t="shared" si="77"/>
        <v>632.79147320111952</v>
      </c>
      <c r="T203" s="169">
        <f t="shared" si="77"/>
        <v>887.9673967041731</v>
      </c>
      <c r="U203" s="1"/>
      <c r="V203" s="9"/>
      <c r="W203" s="155">
        <f t="shared" si="58"/>
        <v>126.49491049715115</v>
      </c>
      <c r="X203" s="169">
        <f t="shared" si="58"/>
        <v>114.1799704600645</v>
      </c>
      <c r="Y203" s="169">
        <f t="shared" si="58"/>
        <v>100</v>
      </c>
      <c r="Z203" s="169">
        <f t="shared" si="58"/>
        <v>85.941491239386664</v>
      </c>
      <c r="AA203" s="169">
        <f t="shared" si="58"/>
        <v>75.250182157648013</v>
      </c>
      <c r="AB203" s="155">
        <f t="shared" si="58"/>
        <v>105.59514655597182</v>
      </c>
      <c r="AC203" s="8"/>
      <c r="AD203" s="8"/>
      <c r="AE203" s="8"/>
      <c r="AF203" s="8"/>
      <c r="AG203" s="8"/>
      <c r="AH203" s="8"/>
      <c r="AI203" s="8"/>
      <c r="AJ203" s="8"/>
      <c r="AK203" s="8"/>
      <c r="AL203" s="1"/>
      <c r="AM203" s="1"/>
      <c r="AN203" s="9"/>
      <c r="AO203" s="9"/>
      <c r="AP203" s="9"/>
      <c r="AQ203" s="9"/>
      <c r="AR203" s="9"/>
      <c r="AS203" s="9"/>
      <c r="AT203" s="9"/>
      <c r="AU203" s="9"/>
      <c r="AY203" s="38"/>
      <c r="AZ203" s="38"/>
      <c r="BB203" s="5"/>
      <c r="BC203" s="9"/>
      <c r="BD203" s="9"/>
      <c r="BE203" s="8"/>
      <c r="BF203" s="8"/>
      <c r="BG203" s="91"/>
      <c r="BH203" s="71"/>
      <c r="BI203" s="8"/>
      <c r="BJ203" s="8"/>
      <c r="BK203" s="8"/>
      <c r="BL203" s="8"/>
      <c r="BM203" s="8"/>
      <c r="BN203" s="8"/>
      <c r="BO203" s="8"/>
      <c r="BP203" s="8"/>
      <c r="BQ203" s="5"/>
    </row>
    <row r="204" spans="1:69" s="5" customFormat="1" ht="11.25" customHeight="1" x14ac:dyDescent="0.25">
      <c r="A204" s="25" t="s">
        <v>25</v>
      </c>
      <c r="B204" s="25" t="s">
        <v>24</v>
      </c>
      <c r="C204" s="25"/>
      <c r="D204" s="25"/>
      <c r="G204" s="86"/>
      <c r="H204" s="136" t="e">
        <f t="shared" si="54"/>
        <v>#REF!</v>
      </c>
      <c r="I204" s="152" t="str">
        <f>+I$90</f>
        <v>Neto dodana vrednost/uro</v>
      </c>
      <c r="J204" s="167" t="str">
        <f>+J$90</f>
        <v>EUR/uro</v>
      </c>
      <c r="K204" s="171" t="e">
        <v>#REF!</v>
      </c>
      <c r="L204" s="171" t="e">
        <v>#REF!</v>
      </c>
      <c r="M204" s="172"/>
      <c r="N204" s="8"/>
      <c r="O204" s="171">
        <v>60.409854975473074</v>
      </c>
      <c r="P204" s="171">
        <v>57.867224777937317</v>
      </c>
      <c r="Q204" s="171">
        <v>50.848477818027952</v>
      </c>
      <c r="R204" s="171">
        <v>43.845288028753671</v>
      </c>
      <c r="S204" s="171">
        <v>38.518954236396738</v>
      </c>
      <c r="T204" s="171">
        <v>65.362445496803531</v>
      </c>
      <c r="U204" s="1"/>
      <c r="V204" s="1"/>
      <c r="W204" s="156">
        <f t="shared" si="58"/>
        <v>118.80366447086683</v>
      </c>
      <c r="X204" s="171">
        <f t="shared" si="58"/>
        <v>113.80325874262635</v>
      </c>
      <c r="Y204" s="171">
        <f t="shared" si="58"/>
        <v>100</v>
      </c>
      <c r="Z204" s="171">
        <f t="shared" si="58"/>
        <v>86.227336412435633</v>
      </c>
      <c r="AA204" s="171">
        <f t="shared" si="58"/>
        <v>75.75242345354954</v>
      </c>
      <c r="AB204" s="156">
        <f t="shared" si="58"/>
        <v>128.54356374386836</v>
      </c>
      <c r="AC204" s="4"/>
      <c r="AD204" s="4"/>
      <c r="AE204" s="339" t="s">
        <v>231</v>
      </c>
      <c r="AF204" s="340"/>
      <c r="AG204" s="340"/>
      <c r="AH204" s="340"/>
      <c r="AI204" s="340"/>
      <c r="AJ204" s="340"/>
      <c r="AK204" s="340"/>
      <c r="AL204" s="340"/>
      <c r="AM204" s="340"/>
      <c r="AN204" s="1"/>
      <c r="AO204" s="1"/>
      <c r="AP204" s="1"/>
      <c r="AQ204" s="1"/>
      <c r="AR204" s="1"/>
      <c r="AS204" s="1"/>
      <c r="AT204" s="1"/>
      <c r="AU204" s="1"/>
      <c r="AY204" s="38"/>
      <c r="AZ204" s="38"/>
      <c r="BC204" s="1"/>
      <c r="BD204" s="19"/>
      <c r="BE204" s="41"/>
      <c r="BF204" s="41"/>
      <c r="BG204" s="91"/>
      <c r="BH204" s="70"/>
      <c r="BI204" s="41"/>
      <c r="BJ204" s="4"/>
      <c r="BK204" s="41"/>
      <c r="BL204" s="41"/>
      <c r="BM204" s="41"/>
      <c r="BN204" s="41"/>
      <c r="BO204" s="41"/>
      <c r="BP204" s="4"/>
    </row>
    <row r="205" spans="1:69" ht="11.25" customHeight="1" x14ac:dyDescent="0.25">
      <c r="A205" s="37" t="s">
        <v>67</v>
      </c>
      <c r="F205" s="1"/>
      <c r="G205" s="86"/>
      <c r="H205" s="136" t="e">
        <f t="shared" si="54"/>
        <v>#REF!</v>
      </c>
      <c r="J205" s="19"/>
      <c r="K205" s="35" t="e">
        <v>#REF!</v>
      </c>
      <c r="L205" s="35" t="e">
        <v>#REF!</v>
      </c>
      <c r="M205" s="36"/>
      <c r="N205" s="36"/>
      <c r="O205" s="328"/>
      <c r="P205" s="328"/>
      <c r="Q205" s="328"/>
      <c r="R205" s="328"/>
      <c r="S205" s="328"/>
      <c r="T205" s="328"/>
      <c r="U205" s="35"/>
      <c r="W205" s="4"/>
      <c r="X205" s="4"/>
      <c r="Y205" s="4"/>
      <c r="Z205" s="4"/>
      <c r="AA205" s="4"/>
      <c r="AB205" s="4"/>
      <c r="AC205" s="4"/>
      <c r="AD205" s="4"/>
      <c r="AE205" s="192" t="str">
        <f>AF$10&amp;""&amp;$L$56</f>
        <v>prva ocena letine 2021</v>
      </c>
      <c r="BB205" s="1"/>
      <c r="BD205" s="19"/>
      <c r="BE205" s="35"/>
      <c r="BF205" s="35"/>
      <c r="BG205" s="91"/>
      <c r="BH205" s="35"/>
      <c r="BI205" s="36"/>
      <c r="BJ205" s="36"/>
      <c r="BK205" s="35"/>
      <c r="BL205" s="35"/>
      <c r="BM205" s="35"/>
      <c r="BN205" s="35"/>
      <c r="BO205" s="35"/>
      <c r="BP205" s="4"/>
      <c r="BQ205" s="1"/>
    </row>
    <row r="206" spans="1:69" s="5" customFormat="1" ht="10.199999999999999" x14ac:dyDescent="0.2">
      <c r="A206" s="25"/>
      <c r="B206" s="25"/>
      <c r="C206" s="25"/>
      <c r="D206" s="25"/>
      <c r="F206" s="29"/>
      <c r="G206" s="29"/>
      <c r="H206" s="136" t="str">
        <f>+I208</f>
        <v>Krompir pozni</v>
      </c>
      <c r="I206" s="141" t="s">
        <v>148</v>
      </c>
      <c r="J206" s="140"/>
      <c r="K206" s="140"/>
      <c r="L206" s="140"/>
      <c r="M206" s="14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40"/>
      <c r="AA206" s="140"/>
      <c r="AB206" s="140"/>
      <c r="AC206" s="140"/>
      <c r="AD206" s="140"/>
      <c r="AE206" s="140"/>
      <c r="AF206" s="140"/>
      <c r="AG206" s="140"/>
      <c r="AH206" s="140"/>
      <c r="AI206" s="140"/>
      <c r="AJ206" s="140"/>
      <c r="AK206" s="140"/>
      <c r="AL206" s="140"/>
      <c r="AM206" s="140"/>
      <c r="AN206" s="1"/>
      <c r="AO206" s="1"/>
      <c r="AP206" s="1"/>
      <c r="AQ206" s="1"/>
      <c r="AR206" s="1"/>
      <c r="AS206" s="1"/>
      <c r="AT206" s="1"/>
      <c r="AU206" s="1"/>
      <c r="BC206" s="13"/>
      <c r="BD206" s="27"/>
      <c r="BE206" s="29"/>
      <c r="BF206" s="29"/>
      <c r="BG206" s="91"/>
      <c r="BH206" s="28"/>
      <c r="BI206" s="27"/>
      <c r="BJ206" s="29"/>
      <c r="BK206" s="29"/>
      <c r="BL206" s="29"/>
      <c r="BM206" s="29"/>
      <c r="BN206" s="29"/>
      <c r="BO206" s="27"/>
      <c r="BP206" s="27"/>
    </row>
    <row r="207" spans="1:69" s="5" customFormat="1" ht="10.199999999999999" x14ac:dyDescent="0.2">
      <c r="A207" s="25"/>
      <c r="B207" s="25"/>
      <c r="C207" s="25"/>
      <c r="D207" s="25"/>
      <c r="H207" s="136" t="str">
        <f>+H206</f>
        <v>Krompir pozni</v>
      </c>
      <c r="I207" s="141" t="s">
        <v>149</v>
      </c>
      <c r="J207" s="140"/>
      <c r="K207" s="140" t="str">
        <f>+F208</f>
        <v>krompir</v>
      </c>
      <c r="L207" s="140" t="str">
        <f>+K207</f>
        <v>krompir</v>
      </c>
      <c r="M207" s="140"/>
      <c r="N207" s="140"/>
      <c r="O207" s="143" t="s">
        <v>144</v>
      </c>
      <c r="P207" s="143" t="s">
        <v>143</v>
      </c>
      <c r="Q207" s="143" t="s">
        <v>155</v>
      </c>
      <c r="R207" s="143" t="s">
        <v>200</v>
      </c>
      <c r="S207" s="143" t="s">
        <v>201</v>
      </c>
      <c r="T207" s="143" t="s">
        <v>202</v>
      </c>
      <c r="U207" s="140"/>
      <c r="V207" s="140"/>
      <c r="W207" s="140"/>
      <c r="X207" s="140"/>
      <c r="Y207" s="140"/>
      <c r="Z207" s="140"/>
      <c r="AA207" s="140"/>
      <c r="AB207" s="140"/>
      <c r="AC207" s="140"/>
      <c r="AD207" s="140"/>
      <c r="AE207" s="140"/>
      <c r="AF207" s="140"/>
      <c r="AG207" s="140"/>
      <c r="AH207" s="140"/>
      <c r="AI207" s="140"/>
      <c r="AJ207" s="140"/>
      <c r="AK207" s="140"/>
      <c r="AL207" s="140"/>
      <c r="AM207" s="140"/>
      <c r="AN207" s="1"/>
      <c r="AO207" s="1"/>
      <c r="AP207" s="1"/>
      <c r="AQ207" s="1"/>
      <c r="AR207" s="1"/>
      <c r="AS207" s="1"/>
      <c r="AT207" s="1"/>
      <c r="AU207" s="1"/>
      <c r="BC207" s="13"/>
      <c r="BD207" s="29"/>
      <c r="BE207" s="12"/>
      <c r="BF207" s="12"/>
      <c r="BG207" s="91"/>
      <c r="BH207" s="68"/>
      <c r="BI207" s="68"/>
      <c r="BJ207" s="68"/>
      <c r="BK207" s="12"/>
      <c r="BL207" s="12"/>
      <c r="BM207" s="12"/>
      <c r="BN207" s="12"/>
      <c r="BO207" s="27"/>
      <c r="BP207" s="29"/>
    </row>
    <row r="208" spans="1:69" s="5" customFormat="1" ht="12.75" customHeight="1" x14ac:dyDescent="0.25">
      <c r="A208" s="25"/>
      <c r="B208" s="25"/>
      <c r="C208" s="25"/>
      <c r="D208" s="25"/>
      <c r="F208" s="86" t="s">
        <v>32</v>
      </c>
      <c r="H208" s="136" t="str">
        <f>+H207</f>
        <v>Krompir pozni</v>
      </c>
      <c r="I208" s="149" t="s">
        <v>264</v>
      </c>
      <c r="J208" s="158"/>
      <c r="K208" s="185">
        <f>K$52</f>
        <v>2020</v>
      </c>
      <c r="L208" s="185">
        <f>+L$56</f>
        <v>2021</v>
      </c>
      <c r="M208" s="341" t="str">
        <f>"Indeks "&amp;L208&amp;"/"&amp;$K208</f>
        <v>Indeks 2021/2020</v>
      </c>
      <c r="N208" s="186"/>
      <c r="O208" s="179"/>
      <c r="P208" s="179"/>
      <c r="Q208" s="179" t="str">
        <f>+L208&amp;" "&amp;L$51</f>
        <v>2021 (prva ocena)</v>
      </c>
      <c r="R208" s="179"/>
      <c r="S208" s="179"/>
      <c r="T208" s="179"/>
      <c r="U208" s="142"/>
      <c r="V208" s="142"/>
      <c r="W208" s="179"/>
      <c r="X208" s="179"/>
      <c r="Y208" s="179" t="s">
        <v>166</v>
      </c>
      <c r="Z208" s="179"/>
      <c r="AA208" s="179"/>
      <c r="AB208" s="179"/>
      <c r="AC208" s="66"/>
      <c r="AD208" s="66"/>
      <c r="AE208" s="66"/>
      <c r="AF208" s="66"/>
      <c r="AG208" s="66"/>
      <c r="AH208" s="66"/>
      <c r="AI208" s="66"/>
      <c r="AJ208" s="66"/>
      <c r="AK208" s="66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BC208" s="103"/>
      <c r="BD208" s="1"/>
      <c r="BE208" s="66"/>
      <c r="BF208" s="66"/>
      <c r="BG208" s="91"/>
      <c r="BH208" s="34"/>
      <c r="BI208" s="67"/>
      <c r="BJ208" s="34"/>
      <c r="BK208" s="66"/>
      <c r="BL208" s="66"/>
      <c r="BM208" s="66"/>
      <c r="BN208" s="66"/>
      <c r="BO208" s="66"/>
      <c r="BP208" s="66"/>
    </row>
    <row r="209" spans="1:69" s="5" customFormat="1" ht="12" x14ac:dyDescent="0.25">
      <c r="A209" s="25"/>
      <c r="B209" s="25"/>
      <c r="C209" s="25"/>
      <c r="D209" s="25"/>
      <c r="H209" s="136" t="str">
        <f>+H208</f>
        <v>Krompir pozni</v>
      </c>
      <c r="I209" s="150" t="s">
        <v>84</v>
      </c>
      <c r="J209" s="158"/>
      <c r="K209" s="185"/>
      <c r="L209" s="330" t="str">
        <f>IF(ISBLANK(L$51),"",L$51)</f>
        <v>(prva ocena)</v>
      </c>
      <c r="M209" s="342"/>
      <c r="N209" s="186"/>
      <c r="O209" s="187" t="s">
        <v>83</v>
      </c>
      <c r="P209" s="214" t="s">
        <v>82</v>
      </c>
      <c r="Q209" s="185" t="s">
        <v>81</v>
      </c>
      <c r="R209" s="185" t="s">
        <v>80</v>
      </c>
      <c r="S209" s="185" t="s">
        <v>79</v>
      </c>
      <c r="T209" s="205" t="s">
        <v>78</v>
      </c>
      <c r="U209" s="191"/>
      <c r="V209" s="191"/>
      <c r="W209" s="188" t="str">
        <f>O209</f>
        <v>M 1</v>
      </c>
      <c r="X209" s="225" t="str">
        <f t="shared" ref="X209:AB209" si="78">P209</f>
        <v>M 2</v>
      </c>
      <c r="Y209" s="185" t="str">
        <f t="shared" si="78"/>
        <v>M 3</v>
      </c>
      <c r="Z209" s="185" t="str">
        <f t="shared" si="78"/>
        <v>M 4</v>
      </c>
      <c r="AA209" s="226" t="str">
        <f t="shared" si="78"/>
        <v>M 5</v>
      </c>
      <c r="AB209" s="188" t="str">
        <f t="shared" si="78"/>
        <v>M 6</v>
      </c>
      <c r="AC209" s="66"/>
      <c r="AD209" s="66"/>
      <c r="AE209" s="66"/>
      <c r="AF209" s="66"/>
      <c r="AG209" s="66"/>
      <c r="AH209" s="66"/>
      <c r="AI209" s="66"/>
      <c r="AJ209" s="66"/>
      <c r="AK209" s="66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BC209" s="9"/>
      <c r="BD209" s="9"/>
      <c r="BE209" s="66"/>
      <c r="BF209" s="66"/>
      <c r="BG209" s="91"/>
      <c r="BH209" s="34"/>
      <c r="BI209" s="66"/>
      <c r="BJ209" s="66"/>
      <c r="BK209" s="66"/>
      <c r="BL209" s="66"/>
      <c r="BM209" s="66"/>
      <c r="BN209" s="66"/>
      <c r="BO209" s="66"/>
      <c r="BP209" s="66"/>
    </row>
    <row r="210" spans="1:69" s="5" customFormat="1" ht="10.199999999999999" x14ac:dyDescent="0.2">
      <c r="A210" s="25" t="s">
        <v>22</v>
      </c>
      <c r="B210" s="25"/>
      <c r="C210" s="25"/>
      <c r="D210" s="25"/>
      <c r="H210" s="136" t="str">
        <f>+H209</f>
        <v>Krompir pozni</v>
      </c>
      <c r="I210" s="9" t="s">
        <v>96</v>
      </c>
      <c r="J210" s="159" t="s">
        <v>20</v>
      </c>
      <c r="K210" s="160">
        <v>40000</v>
      </c>
      <c r="L210" s="160">
        <v>40000</v>
      </c>
      <c r="M210" s="160"/>
      <c r="N210" s="78"/>
      <c r="O210" s="178">
        <v>50000</v>
      </c>
      <c r="P210" s="178">
        <v>40000</v>
      </c>
      <c r="Q210" s="178">
        <v>30000</v>
      </c>
      <c r="R210" s="178">
        <v>25000</v>
      </c>
      <c r="S210" s="178">
        <v>30000</v>
      </c>
      <c r="T210" s="178">
        <v>40000</v>
      </c>
      <c r="U210" s="2"/>
      <c r="V210" s="2"/>
      <c r="W210" s="62">
        <f>O210/$P210*100</f>
        <v>125</v>
      </c>
      <c r="X210" s="62">
        <f t="shared" ref="X210:AB211" si="79">P210/$P210*100</f>
        <v>100</v>
      </c>
      <c r="Y210" s="62">
        <f t="shared" si="79"/>
        <v>75</v>
      </c>
      <c r="Z210" s="62">
        <f t="shared" si="79"/>
        <v>62.5</v>
      </c>
      <c r="AA210" s="62">
        <f t="shared" si="79"/>
        <v>75</v>
      </c>
      <c r="AB210" s="62">
        <f t="shared" si="79"/>
        <v>100</v>
      </c>
      <c r="AC210" s="82"/>
      <c r="AD210" s="82"/>
      <c r="AE210" s="82"/>
      <c r="AF210" s="82"/>
      <c r="AG210" s="82"/>
      <c r="AH210" s="82"/>
      <c r="AI210" s="82"/>
      <c r="AJ210" s="82"/>
      <c r="AK210" s="82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BC210" s="9"/>
      <c r="BD210" s="9"/>
      <c r="BE210" s="7"/>
      <c r="BF210" s="7"/>
      <c r="BG210" s="91"/>
      <c r="BH210" s="80"/>
      <c r="BI210" s="78"/>
      <c r="BJ210" s="78"/>
      <c r="BK210" s="7"/>
      <c r="BL210" s="7"/>
      <c r="BM210" s="7"/>
      <c r="BN210" s="7"/>
      <c r="BO210" s="78"/>
      <c r="BP210" s="66"/>
    </row>
    <row r="211" spans="1:69" s="5" customFormat="1" x14ac:dyDescent="0.25">
      <c r="A211" s="93" t="s">
        <v>95</v>
      </c>
      <c r="B211" s="25"/>
      <c r="C211" s="25"/>
      <c r="D211" s="25"/>
      <c r="H211" s="136" t="str">
        <f t="shared" ref="H211:H213" si="80">+H210</f>
        <v>Krompir pozni</v>
      </c>
      <c r="I211" s="9" t="s">
        <v>94</v>
      </c>
      <c r="J211" s="159" t="str">
        <f>J210</f>
        <v>Kg/ha</v>
      </c>
      <c r="K211" s="161">
        <v>8000</v>
      </c>
      <c r="L211" s="161">
        <v>8000</v>
      </c>
      <c r="M211" s="160"/>
      <c r="N211" s="78"/>
      <c r="O211" s="161">
        <v>10000</v>
      </c>
      <c r="P211" s="161">
        <v>8000</v>
      </c>
      <c r="Q211" s="161">
        <v>6000</v>
      </c>
      <c r="R211" s="161">
        <v>5000</v>
      </c>
      <c r="S211" s="161">
        <v>6000</v>
      </c>
      <c r="T211" s="161">
        <v>8000</v>
      </c>
      <c r="U211" s="1"/>
      <c r="V211" s="1"/>
      <c r="W211" s="82">
        <f>O211/$P211*100</f>
        <v>125</v>
      </c>
      <c r="X211" s="82">
        <f t="shared" si="79"/>
        <v>100</v>
      </c>
      <c r="Y211" s="82">
        <f t="shared" si="79"/>
        <v>75</v>
      </c>
      <c r="Z211" s="82">
        <f t="shared" si="79"/>
        <v>62.5</v>
      </c>
      <c r="AA211" s="82">
        <f t="shared" si="79"/>
        <v>75</v>
      </c>
      <c r="AB211" s="82">
        <f t="shared" si="79"/>
        <v>100</v>
      </c>
      <c r="AC211" s="82"/>
      <c r="AD211" s="82"/>
      <c r="AE211" s="82"/>
      <c r="AF211" s="82"/>
      <c r="AG211" s="82"/>
      <c r="AH211" s="82"/>
      <c r="AI211" s="82"/>
      <c r="AJ211" s="82"/>
      <c r="AK211" s="82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BC211" s="9"/>
      <c r="BD211" s="9"/>
      <c r="BE211" s="7"/>
      <c r="BF211" s="7"/>
      <c r="BG211" s="91"/>
      <c r="BH211" s="80"/>
      <c r="BI211" s="78"/>
      <c r="BJ211" s="78"/>
      <c r="BK211" s="7"/>
      <c r="BL211" s="7"/>
      <c r="BM211" s="7"/>
      <c r="BN211" s="7"/>
      <c r="BO211" s="78"/>
      <c r="BP211" s="66"/>
    </row>
    <row r="212" spans="1:69" s="5" customFormat="1" ht="6" customHeight="1" x14ac:dyDescent="0.25">
      <c r="A212" s="93"/>
      <c r="B212" s="25"/>
      <c r="C212" s="25"/>
      <c r="D212" s="25"/>
      <c r="H212" s="136" t="str">
        <f t="shared" si="80"/>
        <v>Krompir pozni</v>
      </c>
      <c r="I212" s="9"/>
      <c r="J212" s="162"/>
      <c r="K212" s="161"/>
      <c r="L212" s="161"/>
      <c r="M212" s="161"/>
      <c r="N212" s="137"/>
      <c r="O212" s="161"/>
      <c r="P212" s="161"/>
      <c r="Q212" s="161"/>
      <c r="R212" s="161"/>
      <c r="S212" s="161"/>
      <c r="T212" s="161"/>
      <c r="U212" s="1"/>
      <c r="V212" s="1"/>
      <c r="W212" s="84"/>
      <c r="X212" s="84"/>
      <c r="Y212" s="84"/>
      <c r="Z212" s="84"/>
      <c r="AA212" s="84"/>
      <c r="AB212" s="84"/>
      <c r="AC212" s="82"/>
      <c r="AD212" s="82"/>
      <c r="AE212" s="82"/>
      <c r="AF212" s="82"/>
      <c r="AG212" s="82"/>
      <c r="AH212" s="82"/>
      <c r="AI212" s="82"/>
      <c r="AJ212" s="82"/>
      <c r="AK212" s="82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BC212" s="9"/>
      <c r="BD212" s="9"/>
      <c r="BE212" s="78"/>
      <c r="BF212" s="78"/>
      <c r="BG212" s="91"/>
      <c r="BH212" s="80"/>
      <c r="BI212" s="78"/>
      <c r="BJ212" s="78"/>
      <c r="BK212" s="78"/>
      <c r="BL212" s="78"/>
      <c r="BM212" s="78"/>
      <c r="BN212" s="78"/>
      <c r="BO212" s="78"/>
      <c r="BP212" s="66"/>
    </row>
    <row r="213" spans="1:69" s="5" customFormat="1" ht="11.25" customHeight="1" x14ac:dyDescent="0.2">
      <c r="A213" s="25" t="s">
        <v>91</v>
      </c>
      <c r="B213" s="25"/>
      <c r="C213" s="25"/>
      <c r="D213" s="25"/>
      <c r="H213" s="136" t="str">
        <f t="shared" si="80"/>
        <v>Krompir pozni</v>
      </c>
      <c r="I213" s="9" t="s">
        <v>90</v>
      </c>
      <c r="J213" s="159" t="s">
        <v>89</v>
      </c>
      <c r="K213" s="163">
        <v>1</v>
      </c>
      <c r="L213" s="163">
        <v>1</v>
      </c>
      <c r="M213" s="164"/>
      <c r="N213" s="8"/>
      <c r="O213" s="163">
        <v>1</v>
      </c>
      <c r="P213" s="163">
        <v>1</v>
      </c>
      <c r="Q213" s="163">
        <v>1</v>
      </c>
      <c r="R213" s="163">
        <v>1</v>
      </c>
      <c r="S213" s="163">
        <v>0.2</v>
      </c>
      <c r="T213" s="163">
        <v>0.5</v>
      </c>
      <c r="U213" s="9"/>
      <c r="V213" s="9"/>
      <c r="W213" s="84">
        <f t="shared" ref="W213:AB242" si="81">O213/$P213*100</f>
        <v>100</v>
      </c>
      <c r="X213" s="84">
        <f t="shared" si="81"/>
        <v>100</v>
      </c>
      <c r="Y213" s="84">
        <f t="shared" si="81"/>
        <v>100</v>
      </c>
      <c r="Z213" s="84">
        <f t="shared" si="81"/>
        <v>100</v>
      </c>
      <c r="AA213" s="84">
        <f t="shared" si="81"/>
        <v>20</v>
      </c>
      <c r="AB213" s="84">
        <f t="shared" si="81"/>
        <v>50</v>
      </c>
      <c r="AC213" s="26"/>
      <c r="AD213" s="26"/>
      <c r="AE213" s="26"/>
      <c r="AF213" s="26"/>
      <c r="AG213" s="26"/>
      <c r="AH213" s="26"/>
      <c r="AI213" s="26"/>
      <c r="AJ213" s="26"/>
      <c r="AK213" s="26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BC213" s="9"/>
      <c r="BD213" s="1"/>
      <c r="BE213" s="87"/>
      <c r="BF213" s="87"/>
      <c r="BG213" s="91"/>
      <c r="BH213" s="88"/>
      <c r="BI213" s="66"/>
      <c r="BJ213" s="66"/>
      <c r="BK213" s="87"/>
      <c r="BL213" s="87"/>
      <c r="BM213" s="87"/>
      <c r="BN213" s="87"/>
      <c r="BO213" s="87"/>
      <c r="BP213" s="30"/>
    </row>
    <row r="214" spans="1:69" s="5" customFormat="1" ht="11.25" customHeight="1" x14ac:dyDescent="0.2">
      <c r="A214" s="25"/>
      <c r="B214" s="25"/>
      <c r="C214" s="25"/>
      <c r="D214" s="25"/>
      <c r="H214" s="136" t="str">
        <f>+H208</f>
        <v>Krompir pozni</v>
      </c>
      <c r="I214" s="151" t="str">
        <f>+I$62</f>
        <v>IZVLEČEK ANALITIČNE KALKULACIJE</v>
      </c>
      <c r="J214" s="165"/>
      <c r="K214" s="166"/>
      <c r="L214" s="166"/>
      <c r="M214" s="167"/>
      <c r="N214" s="1"/>
      <c r="O214" s="166"/>
      <c r="P214" s="166"/>
      <c r="Q214" s="166"/>
      <c r="R214" s="166"/>
      <c r="S214" s="166"/>
      <c r="T214" s="166"/>
      <c r="U214" s="1"/>
      <c r="V214" s="1"/>
      <c r="W214" s="154"/>
      <c r="X214" s="154"/>
      <c r="Y214" s="154"/>
      <c r="Z214" s="154"/>
      <c r="AA214" s="154"/>
      <c r="AB214" s="154"/>
      <c r="AC214" s="76"/>
      <c r="AD214" s="76"/>
      <c r="AE214" s="76"/>
      <c r="AF214" s="76"/>
      <c r="AG214" s="76"/>
      <c r="AH214" s="76"/>
      <c r="AI214" s="76"/>
      <c r="AJ214" s="76"/>
      <c r="AK214" s="76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BC214" s="9"/>
      <c r="BD214" s="1"/>
      <c r="BE214" s="77"/>
      <c r="BF214" s="77"/>
      <c r="BG214" s="91"/>
      <c r="BH214" s="24"/>
      <c r="BI214" s="1"/>
      <c r="BJ214" s="1"/>
      <c r="BK214" s="77"/>
      <c r="BL214" s="77"/>
      <c r="BM214" s="77"/>
      <c r="BN214" s="77"/>
      <c r="BO214" s="77"/>
      <c r="BP214" s="76"/>
    </row>
    <row r="215" spans="1:69" s="10" customFormat="1" ht="11.25" customHeight="1" x14ac:dyDescent="0.2">
      <c r="A215" s="25"/>
      <c r="B215" s="25"/>
      <c r="C215" s="25"/>
      <c r="D215" s="25"/>
      <c r="F215" s="5"/>
      <c r="G215" s="5"/>
      <c r="H215" s="136" t="str">
        <f t="shared" ref="H215:H243" si="82">+H214</f>
        <v>Krompir pozni</v>
      </c>
      <c r="I215" s="151" t="str">
        <f>+I$63</f>
        <v>Stroški blaga in storitev</v>
      </c>
      <c r="J215" s="168" t="str">
        <f>+J$63</f>
        <v>EUR/ha</v>
      </c>
      <c r="K215" s="169">
        <f>+K225-K223-K222</f>
        <v>5300.3210260299365</v>
      </c>
      <c r="L215" s="169">
        <f>+L225-L223-L222</f>
        <v>5141.9142217879325</v>
      </c>
      <c r="M215" s="170">
        <f>L215/K215*100</f>
        <v>97.011373396742073</v>
      </c>
      <c r="N215" s="8"/>
      <c r="O215" s="169">
        <f>+O225-O223-O222</f>
        <v>5388.5172292166253</v>
      </c>
      <c r="P215" s="169">
        <f>+P225-P223-P222</f>
        <v>5141.9142217879325</v>
      </c>
      <c r="Q215" s="169">
        <f>+Q225-Q223-Q222</f>
        <v>4832.4904828396047</v>
      </c>
      <c r="R215" s="169">
        <f>+R225-R223-R222</f>
        <v>4608.0183856971416</v>
      </c>
      <c r="S215" s="169">
        <f t="shared" ref="S215:T215" si="83">+S225-S223-S222</f>
        <v>4991.7422031508113</v>
      </c>
      <c r="T215" s="169">
        <f t="shared" si="83"/>
        <v>5206.526511457655</v>
      </c>
      <c r="U215" s="1"/>
      <c r="V215" s="9"/>
      <c r="W215" s="155">
        <f t="shared" si="81"/>
        <v>104.79593779265623</v>
      </c>
      <c r="X215" s="155">
        <f t="shared" si="81"/>
        <v>100</v>
      </c>
      <c r="Y215" s="155">
        <f t="shared" si="81"/>
        <v>93.982323982823345</v>
      </c>
      <c r="Z215" s="155">
        <f t="shared" si="81"/>
        <v>89.616788358146778</v>
      </c>
      <c r="AA215" s="155">
        <f t="shared" si="81"/>
        <v>97.079453056591376</v>
      </c>
      <c r="AB215" s="155">
        <f t="shared" si="81"/>
        <v>101.25658046561608</v>
      </c>
      <c r="AC215" s="8"/>
      <c r="AD215" s="8"/>
      <c r="AE215" s="8"/>
      <c r="AF215" s="8"/>
      <c r="AG215" s="8"/>
      <c r="AH215" s="8"/>
      <c r="AI215" s="8"/>
      <c r="AJ215" s="8"/>
      <c r="AK215" s="8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Y215" s="38"/>
      <c r="AZ215" s="38"/>
      <c r="BB215" s="5"/>
      <c r="BC215" s="9"/>
      <c r="BD215" s="9"/>
      <c r="BE215" s="18"/>
      <c r="BF215" s="18"/>
      <c r="BG215" s="91"/>
      <c r="BH215" s="18"/>
      <c r="BI215" s="18"/>
      <c r="BJ215" s="18"/>
      <c r="BK215" s="18"/>
      <c r="BL215" s="18"/>
      <c r="BM215" s="18"/>
      <c r="BN215" s="18"/>
      <c r="BO215" s="18"/>
      <c r="BP215" s="8"/>
      <c r="BQ215" s="5"/>
    </row>
    <row r="216" spans="1:69" s="5" customFormat="1" ht="11.25" customHeight="1" x14ac:dyDescent="0.2">
      <c r="A216" s="25" t="s">
        <v>19</v>
      </c>
      <c r="B216" s="25"/>
      <c r="C216" s="25"/>
      <c r="D216" s="25"/>
      <c r="H216" s="136" t="str">
        <f t="shared" si="82"/>
        <v>Krompir pozni</v>
      </c>
      <c r="I216" s="152" t="str">
        <f>+I$64</f>
        <v xml:space="preserve">  Od tega: seme</v>
      </c>
      <c r="J216" s="165" t="str">
        <f>+J$64</f>
        <v>EUR/ha</v>
      </c>
      <c r="K216" s="171">
        <v>2688</v>
      </c>
      <c r="L216" s="171">
        <v>2337</v>
      </c>
      <c r="M216" s="172">
        <f>L216/K216*100</f>
        <v>86.941964285714292</v>
      </c>
      <c r="N216" s="8"/>
      <c r="O216" s="171">
        <v>2337</v>
      </c>
      <c r="P216" s="171">
        <v>2337</v>
      </c>
      <c r="Q216" s="171">
        <v>2337</v>
      </c>
      <c r="R216" s="171">
        <v>2337</v>
      </c>
      <c r="S216" s="171">
        <v>2337</v>
      </c>
      <c r="T216" s="171">
        <v>2337</v>
      </c>
      <c r="U216" s="1"/>
      <c r="V216" s="1"/>
      <c r="W216" s="156">
        <f t="shared" si="81"/>
        <v>100</v>
      </c>
      <c r="X216" s="156">
        <f t="shared" si="81"/>
        <v>100</v>
      </c>
      <c r="Y216" s="156">
        <f t="shared" si="81"/>
        <v>100</v>
      </c>
      <c r="Z216" s="156">
        <f t="shared" si="81"/>
        <v>100</v>
      </c>
      <c r="AA216" s="156">
        <f t="shared" si="81"/>
        <v>100</v>
      </c>
      <c r="AB216" s="156">
        <f t="shared" si="81"/>
        <v>100</v>
      </c>
      <c r="AC216" s="4"/>
      <c r="AD216" s="4"/>
      <c r="AE216" s="4"/>
      <c r="AF216" s="4"/>
      <c r="AG216" s="4"/>
      <c r="AH216" s="4"/>
      <c r="AI216" s="4"/>
      <c r="AJ216" s="4"/>
      <c r="AK216" s="4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Y216" s="38"/>
      <c r="AZ216" s="38"/>
      <c r="BC216" s="1"/>
      <c r="BD216" s="1"/>
      <c r="BE216" s="7"/>
      <c r="BF216" s="7"/>
      <c r="BG216" s="91"/>
      <c r="BH216" s="70"/>
      <c r="BI216" s="7"/>
      <c r="BJ216" s="4"/>
      <c r="BK216" s="7"/>
      <c r="BL216" s="7"/>
      <c r="BM216" s="7"/>
      <c r="BN216" s="7"/>
      <c r="BO216" s="7"/>
      <c r="BP216" s="4"/>
    </row>
    <row r="217" spans="1:69" s="5" customFormat="1" ht="11.25" customHeight="1" x14ac:dyDescent="0.2">
      <c r="A217" s="25" t="s">
        <v>18</v>
      </c>
      <c r="B217" s="25" t="s">
        <v>17</v>
      </c>
      <c r="C217" s="25"/>
      <c r="D217" s="25"/>
      <c r="H217" s="136" t="str">
        <f t="shared" si="82"/>
        <v>Krompir pozni</v>
      </c>
      <c r="I217" s="152" t="str">
        <f>+I$65</f>
        <v xml:space="preserve">                 gnojila</v>
      </c>
      <c r="J217" s="165" t="str">
        <f>+J$65</f>
        <v>EUR/ha</v>
      </c>
      <c r="K217" s="171">
        <v>397.94426813184884</v>
      </c>
      <c r="L217" s="171">
        <v>407.89337477279923</v>
      </c>
      <c r="M217" s="172">
        <f>L217/K217*100</f>
        <v>102.50012563006787</v>
      </c>
      <c r="N217" s="8"/>
      <c r="O217" s="171">
        <v>462.25310324701877</v>
      </c>
      <c r="P217" s="171">
        <v>407.89337477279923</v>
      </c>
      <c r="Q217" s="171">
        <v>351.78943163274482</v>
      </c>
      <c r="R217" s="171">
        <v>322.8424455953521</v>
      </c>
      <c r="S217" s="171">
        <v>351.78943163274482</v>
      </c>
      <c r="T217" s="171">
        <v>407.89337477279923</v>
      </c>
      <c r="U217" s="1"/>
      <c r="V217" s="1"/>
      <c r="W217" s="156">
        <f t="shared" si="81"/>
        <v>113.32694567655051</v>
      </c>
      <c r="X217" s="156">
        <f t="shared" si="81"/>
        <v>100</v>
      </c>
      <c r="Y217" s="156">
        <f t="shared" si="81"/>
        <v>86.245438977452153</v>
      </c>
      <c r="Z217" s="156">
        <f t="shared" si="81"/>
        <v>79.148734831787507</v>
      </c>
      <c r="AA217" s="156">
        <f t="shared" si="81"/>
        <v>86.245438977452153</v>
      </c>
      <c r="AB217" s="156">
        <f t="shared" si="81"/>
        <v>100</v>
      </c>
      <c r="AC217" s="4"/>
      <c r="AD217" s="4"/>
      <c r="AE217" s="4"/>
      <c r="AF217" s="4"/>
      <c r="AG217" s="4"/>
      <c r="AH217" s="4"/>
      <c r="AI217" s="4"/>
      <c r="AJ217" s="4"/>
      <c r="AK217" s="4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Y217" s="38"/>
      <c r="AZ217" s="38"/>
      <c r="BC217" s="1"/>
      <c r="BD217" s="1"/>
      <c r="BE217" s="7"/>
      <c r="BF217" s="7"/>
      <c r="BG217" s="91"/>
      <c r="BH217" s="70"/>
      <c r="BI217" s="7"/>
      <c r="BJ217" s="4"/>
      <c r="BK217" s="7"/>
      <c r="BL217" s="7"/>
      <c r="BM217" s="7"/>
      <c r="BN217" s="7"/>
      <c r="BO217" s="7"/>
      <c r="BP217" s="4"/>
    </row>
    <row r="218" spans="1:69" s="5" customFormat="1" ht="11.25" customHeight="1" x14ac:dyDescent="0.2">
      <c r="A218" s="25" t="s">
        <v>16</v>
      </c>
      <c r="B218" s="25"/>
      <c r="C218" s="25"/>
      <c r="D218" s="25"/>
      <c r="H218" s="136" t="str">
        <f t="shared" si="82"/>
        <v>Krompir pozni</v>
      </c>
      <c r="I218" s="152" t="str">
        <f>+I$66</f>
        <v xml:space="preserve">                 sredstva za varstvo</v>
      </c>
      <c r="J218" s="165" t="str">
        <f>+J$66</f>
        <v>EUR/ha</v>
      </c>
      <c r="K218" s="171">
        <v>512.88455999999996</v>
      </c>
      <c r="L218" s="171">
        <v>532.30944</v>
      </c>
      <c r="M218" s="172">
        <f>L218/K218*100</f>
        <v>103.78737858671356</v>
      </c>
      <c r="N218" s="8"/>
      <c r="O218" s="171">
        <v>532.30944</v>
      </c>
      <c r="P218" s="171">
        <v>532.30944</v>
      </c>
      <c r="Q218" s="171">
        <v>516.09144000000003</v>
      </c>
      <c r="R218" s="171">
        <v>449.38344000000006</v>
      </c>
      <c r="S218" s="171">
        <v>516.09144000000003</v>
      </c>
      <c r="T218" s="171">
        <v>532.30944</v>
      </c>
      <c r="U218" s="1"/>
      <c r="V218" s="1"/>
      <c r="W218" s="156">
        <f t="shared" si="81"/>
        <v>100</v>
      </c>
      <c r="X218" s="156">
        <f t="shared" si="81"/>
        <v>100</v>
      </c>
      <c r="Y218" s="156">
        <f t="shared" si="81"/>
        <v>96.953275899071045</v>
      </c>
      <c r="Z218" s="156">
        <f t="shared" si="81"/>
        <v>84.421467332985884</v>
      </c>
      <c r="AA218" s="156">
        <f t="shared" si="81"/>
        <v>96.953275899071045</v>
      </c>
      <c r="AB218" s="156">
        <f t="shared" si="81"/>
        <v>100</v>
      </c>
      <c r="AC218" s="4"/>
      <c r="AD218" s="4"/>
      <c r="AE218" s="4"/>
      <c r="AF218" s="4"/>
      <c r="AG218" s="4"/>
      <c r="AH218" s="4"/>
      <c r="AI218" s="4"/>
      <c r="AJ218" s="4"/>
      <c r="AK218" s="4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Y218" s="38"/>
      <c r="AZ218" s="38"/>
      <c r="BC218" s="1"/>
      <c r="BD218" s="1"/>
      <c r="BE218" s="7"/>
      <c r="BF218" s="7"/>
      <c r="BG218" s="91"/>
      <c r="BH218" s="70"/>
      <c r="BI218" s="7"/>
      <c r="BJ218" s="4"/>
      <c r="BK218" s="7"/>
      <c r="BL218" s="7"/>
      <c r="BM218" s="7"/>
      <c r="BN218" s="7"/>
      <c r="BO218" s="7"/>
      <c r="BP218" s="4"/>
    </row>
    <row r="219" spans="1:69" s="5" customFormat="1" ht="11.25" customHeight="1" x14ac:dyDescent="0.2">
      <c r="A219" s="25" t="s">
        <v>15</v>
      </c>
      <c r="B219" s="25" t="s">
        <v>14</v>
      </c>
      <c r="C219" s="25" t="s">
        <v>13</v>
      </c>
      <c r="D219" s="25"/>
      <c r="H219" s="136" t="str">
        <f t="shared" si="82"/>
        <v>Krompir pozni</v>
      </c>
      <c r="I219" s="152" t="str">
        <f>+I$67</f>
        <v xml:space="preserve">                 najete storitve</v>
      </c>
      <c r="J219" s="165" t="str">
        <f>+J$67</f>
        <v>EUR/ha</v>
      </c>
      <c r="K219" s="171">
        <v>0</v>
      </c>
      <c r="L219" s="171">
        <v>0</v>
      </c>
      <c r="M219" s="172"/>
      <c r="N219" s="8"/>
      <c r="O219" s="171">
        <v>0</v>
      </c>
      <c r="P219" s="171">
        <v>0</v>
      </c>
      <c r="Q219" s="171">
        <v>0</v>
      </c>
      <c r="R219" s="171">
        <v>0</v>
      </c>
      <c r="S219" s="171">
        <v>0</v>
      </c>
      <c r="T219" s="171">
        <v>0</v>
      </c>
      <c r="U219" s="1"/>
      <c r="V219" s="1"/>
      <c r="W219" s="156"/>
      <c r="X219" s="156"/>
      <c r="Y219" s="156"/>
      <c r="Z219" s="156"/>
      <c r="AA219" s="156"/>
      <c r="AB219" s="156"/>
      <c r="AC219" s="4"/>
      <c r="AD219" s="4"/>
      <c r="AE219" s="4"/>
      <c r="AF219" s="4"/>
      <c r="AG219" s="4"/>
      <c r="AH219" s="4"/>
      <c r="AI219" s="4"/>
      <c r="AJ219" s="4"/>
      <c r="AK219" s="4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Y219" s="38"/>
      <c r="AZ219" s="38"/>
      <c r="BC219" s="1"/>
      <c r="BD219" s="1"/>
      <c r="BE219" s="7"/>
      <c r="BF219" s="7"/>
      <c r="BG219" s="91"/>
      <c r="BH219" s="70"/>
      <c r="BI219" s="7"/>
      <c r="BJ219" s="4"/>
      <c r="BK219" s="7"/>
      <c r="BL219" s="7"/>
      <c r="BM219" s="7"/>
      <c r="BN219" s="7"/>
      <c r="BO219" s="7"/>
      <c r="BP219" s="4"/>
    </row>
    <row r="220" spans="1:69" s="5" customFormat="1" ht="11.25" customHeight="1" x14ac:dyDescent="0.2">
      <c r="A220" s="25" t="s">
        <v>12</v>
      </c>
      <c r="B220" s="25"/>
      <c r="C220" s="25"/>
      <c r="D220" s="25"/>
      <c r="H220" s="136" t="str">
        <f t="shared" si="82"/>
        <v>Krompir pozni</v>
      </c>
      <c r="I220" s="152" t="str">
        <f>+I$68</f>
        <v xml:space="preserve">                 zavarovanje</v>
      </c>
      <c r="J220" s="165" t="str">
        <f>+J$68</f>
        <v>EUR/ha</v>
      </c>
      <c r="K220" s="171">
        <v>131.19999999999999</v>
      </c>
      <c r="L220" s="171">
        <v>118.08000000000001</v>
      </c>
      <c r="M220" s="172">
        <f>L220/K220*100</f>
        <v>90.000000000000014</v>
      </c>
      <c r="N220" s="8"/>
      <c r="O220" s="171">
        <v>118.08000000000001</v>
      </c>
      <c r="P220" s="171">
        <v>118.08000000000001</v>
      </c>
      <c r="Q220" s="171">
        <v>88.56</v>
      </c>
      <c r="R220" s="171">
        <v>73.800000000000011</v>
      </c>
      <c r="S220" s="171">
        <v>88.56</v>
      </c>
      <c r="T220" s="171">
        <v>118.08000000000001</v>
      </c>
      <c r="U220" s="1"/>
      <c r="V220" s="1"/>
      <c r="W220" s="156">
        <f t="shared" si="81"/>
        <v>100</v>
      </c>
      <c r="X220" s="156">
        <f t="shared" si="81"/>
        <v>100</v>
      </c>
      <c r="Y220" s="156">
        <f t="shared" si="81"/>
        <v>74.999999999999986</v>
      </c>
      <c r="Z220" s="156">
        <f t="shared" si="81"/>
        <v>62.5</v>
      </c>
      <c r="AA220" s="156">
        <f t="shared" si="81"/>
        <v>74.999999999999986</v>
      </c>
      <c r="AB220" s="156">
        <f t="shared" si="81"/>
        <v>100</v>
      </c>
      <c r="AC220" s="4"/>
      <c r="AD220" s="4"/>
      <c r="AE220" s="4"/>
      <c r="AF220" s="4"/>
      <c r="AG220" s="4"/>
      <c r="AH220" s="4"/>
      <c r="AI220" s="4"/>
      <c r="AJ220" s="4"/>
      <c r="AK220" s="4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Y220" s="38"/>
      <c r="AZ220" s="38"/>
      <c r="BC220" s="1"/>
      <c r="BD220" s="1"/>
      <c r="BE220" s="7"/>
      <c r="BF220" s="7"/>
      <c r="BG220" s="91"/>
      <c r="BH220" s="70"/>
      <c r="BI220" s="7"/>
      <c r="BJ220" s="4"/>
      <c r="BK220" s="7"/>
      <c r="BL220" s="7"/>
      <c r="BM220" s="7"/>
      <c r="BN220" s="7"/>
      <c r="BO220" s="7"/>
      <c r="BP220" s="4"/>
    </row>
    <row r="221" spans="1:69" s="5" customFormat="1" ht="11.25" customHeight="1" x14ac:dyDescent="0.2">
      <c r="A221" s="25" t="s">
        <v>11</v>
      </c>
      <c r="B221" s="25"/>
      <c r="C221" s="25"/>
      <c r="D221" s="25"/>
      <c r="H221" s="136" t="str">
        <f t="shared" si="82"/>
        <v>Krompir pozni</v>
      </c>
      <c r="I221" s="152" t="str">
        <f>+I$69</f>
        <v xml:space="preserve">                 domače strojne storitve</v>
      </c>
      <c r="J221" s="165" t="str">
        <f>+J$69</f>
        <v>EUR/ha</v>
      </c>
      <c r="K221" s="171">
        <v>1126.7034949487668</v>
      </c>
      <c r="L221" s="171">
        <v>1257.6132691526827</v>
      </c>
      <c r="M221" s="172">
        <f>L221/K221*100</f>
        <v>111.61883093385352</v>
      </c>
      <c r="N221" s="8"/>
      <c r="O221" s="171">
        <v>1357.7830244492873</v>
      </c>
      <c r="P221" s="171">
        <v>1257.6132691526827</v>
      </c>
      <c r="Q221" s="171">
        <v>1142.6277842834152</v>
      </c>
      <c r="R221" s="171">
        <v>1075.6722855621845</v>
      </c>
      <c r="S221" s="171">
        <v>1296.1302697039025</v>
      </c>
      <c r="T221" s="171">
        <v>1319.8308969474188</v>
      </c>
      <c r="U221" s="1"/>
      <c r="V221" s="1"/>
      <c r="W221" s="156">
        <f t="shared" si="81"/>
        <v>107.96506825696058</v>
      </c>
      <c r="X221" s="156">
        <f t="shared" si="81"/>
        <v>100</v>
      </c>
      <c r="Y221" s="156">
        <f t="shared" si="81"/>
        <v>90.856848628295793</v>
      </c>
      <c r="Z221" s="156">
        <f t="shared" si="81"/>
        <v>85.532835248066277</v>
      </c>
      <c r="AA221" s="156">
        <f t="shared" si="81"/>
        <v>103.06270627831167</v>
      </c>
      <c r="AB221" s="156">
        <f t="shared" si="81"/>
        <v>104.94727825483704</v>
      </c>
      <c r="AC221" s="4"/>
      <c r="AD221" s="4"/>
      <c r="AE221" s="4"/>
      <c r="AF221" s="4"/>
      <c r="AG221" s="4"/>
      <c r="AH221" s="4"/>
      <c r="AI221" s="4"/>
      <c r="AJ221" s="4"/>
      <c r="AK221" s="4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Y221" s="38"/>
      <c r="AZ221" s="38"/>
      <c r="BC221" s="1"/>
      <c r="BD221" s="1"/>
      <c r="BE221" s="7"/>
      <c r="BF221" s="7"/>
      <c r="BG221" s="91"/>
      <c r="BH221" s="70"/>
      <c r="BI221" s="7"/>
      <c r="BJ221" s="4"/>
      <c r="BK221" s="7"/>
      <c r="BL221" s="7"/>
      <c r="BM221" s="7"/>
      <c r="BN221" s="7"/>
      <c r="BO221" s="7"/>
      <c r="BP221" s="4"/>
    </row>
    <row r="222" spans="1:69" s="10" customFormat="1" ht="11.25" customHeight="1" x14ac:dyDescent="0.2">
      <c r="A222" s="25" t="s">
        <v>10</v>
      </c>
      <c r="B222" s="25"/>
      <c r="C222" s="25"/>
      <c r="D222" s="25"/>
      <c r="F222" s="5"/>
      <c r="G222" s="5"/>
      <c r="H222" s="136" t="str">
        <f t="shared" si="82"/>
        <v>Krompir pozni</v>
      </c>
      <c r="I222" s="152" t="str">
        <f>+I$70</f>
        <v>Amortizacija</v>
      </c>
      <c r="J222" s="165" t="str">
        <f>+J$70</f>
        <v>EUR/ha</v>
      </c>
      <c r="K222" s="171">
        <v>0</v>
      </c>
      <c r="L222" s="171">
        <v>0</v>
      </c>
      <c r="M222" s="172"/>
      <c r="N222" s="8"/>
      <c r="O222" s="171">
        <v>0</v>
      </c>
      <c r="P222" s="171">
        <v>0</v>
      </c>
      <c r="Q222" s="171">
        <v>0</v>
      </c>
      <c r="R222" s="171">
        <v>0</v>
      </c>
      <c r="S222" s="171">
        <v>0</v>
      </c>
      <c r="T222" s="171">
        <v>0</v>
      </c>
      <c r="U222" s="1"/>
      <c r="V222" s="1"/>
      <c r="W222" s="156"/>
      <c r="X222" s="156"/>
      <c r="Y222" s="156"/>
      <c r="Z222" s="156"/>
      <c r="AA222" s="156"/>
      <c r="AB222" s="156"/>
      <c r="AC222" s="4"/>
      <c r="AD222" s="4"/>
      <c r="AE222" s="4"/>
      <c r="AF222" s="4"/>
      <c r="AG222" s="4"/>
      <c r="AH222" s="4"/>
      <c r="AI222" s="4"/>
      <c r="AJ222" s="4"/>
      <c r="AK222" s="4"/>
      <c r="AL222" s="1"/>
      <c r="AM222" s="1"/>
      <c r="AN222" s="9"/>
      <c r="AO222" s="9"/>
      <c r="AP222" s="9"/>
      <c r="AQ222" s="9"/>
      <c r="AR222" s="9"/>
      <c r="AS222" s="9"/>
      <c r="AT222" s="9"/>
      <c r="AU222" s="9"/>
      <c r="AY222" s="38"/>
      <c r="AZ222" s="38"/>
      <c r="BB222" s="5"/>
      <c r="BC222" s="1"/>
      <c r="BD222" s="1"/>
      <c r="BE222" s="7"/>
      <c r="BF222" s="7"/>
      <c r="BG222" s="91"/>
      <c r="BH222" s="70"/>
      <c r="BI222" s="7"/>
      <c r="BJ222" s="4"/>
      <c r="BK222" s="7"/>
      <c r="BL222" s="7"/>
      <c r="BM222" s="7"/>
      <c r="BN222" s="7"/>
      <c r="BO222" s="7"/>
      <c r="BP222" s="4"/>
      <c r="BQ222" s="5"/>
    </row>
    <row r="223" spans="1:69" s="10" customFormat="1" ht="11.25" customHeight="1" x14ac:dyDescent="0.2">
      <c r="A223" s="25" t="s">
        <v>7</v>
      </c>
      <c r="B223" s="25" t="s">
        <v>9</v>
      </c>
      <c r="C223" s="25" t="s">
        <v>8</v>
      </c>
      <c r="D223" s="25"/>
      <c r="F223" s="5"/>
      <c r="G223" s="5"/>
      <c r="H223" s="136" t="str">
        <f t="shared" si="82"/>
        <v>Krompir pozni</v>
      </c>
      <c r="I223" s="151" t="str">
        <f>+I$71</f>
        <v>Stroški domačega dela in kapitala</v>
      </c>
      <c r="J223" s="168" t="str">
        <f>+J$71</f>
        <v>EUR/ha</v>
      </c>
      <c r="K223" s="169">
        <v>3118.5077693779745</v>
      </c>
      <c r="L223" s="169">
        <v>3279.781400444368</v>
      </c>
      <c r="M223" s="170">
        <f t="shared" ref="M223:M233" si="84">L223/K223*100</f>
        <v>105.1715000568545</v>
      </c>
      <c r="N223" s="8"/>
      <c r="O223" s="169">
        <v>3759.3843442044972</v>
      </c>
      <c r="P223" s="169">
        <v>3279.781400444368</v>
      </c>
      <c r="Q223" s="169">
        <v>2788.9436419732942</v>
      </c>
      <c r="R223" s="169">
        <v>2536.1669002340786</v>
      </c>
      <c r="S223" s="169">
        <v>2965.4934144035533</v>
      </c>
      <c r="T223" s="169">
        <v>3353.1534211426033</v>
      </c>
      <c r="U223" s="1"/>
      <c r="V223" s="9"/>
      <c r="W223" s="155">
        <f t="shared" si="81"/>
        <v>114.62301553680221</v>
      </c>
      <c r="X223" s="155">
        <f t="shared" si="81"/>
        <v>100</v>
      </c>
      <c r="Y223" s="155">
        <f t="shared" si="81"/>
        <v>85.034436794947027</v>
      </c>
      <c r="Z223" s="155">
        <f t="shared" si="81"/>
        <v>77.327315164677159</v>
      </c>
      <c r="AA223" s="155">
        <f t="shared" si="81"/>
        <v>90.417410562843216</v>
      </c>
      <c r="AB223" s="155">
        <f t="shared" si="81"/>
        <v>102.23710094484633</v>
      </c>
      <c r="AC223" s="8"/>
      <c r="AD223" s="8"/>
      <c r="AE223" s="8"/>
      <c r="AF223" s="8"/>
      <c r="AG223" s="8"/>
      <c r="AH223" s="8"/>
      <c r="AI223" s="8"/>
      <c r="AJ223" s="8"/>
      <c r="AK223" s="8"/>
      <c r="AL223" s="1"/>
      <c r="AM223" s="1"/>
      <c r="AN223" s="9"/>
      <c r="AO223" s="9"/>
      <c r="AP223" s="9"/>
      <c r="AQ223" s="9"/>
      <c r="AR223" s="9"/>
      <c r="AS223" s="9"/>
      <c r="AT223" s="9"/>
      <c r="AU223" s="9"/>
      <c r="AY223" s="38"/>
      <c r="AZ223" s="38"/>
      <c r="BB223" s="5"/>
      <c r="BC223" s="9"/>
      <c r="BD223" s="9"/>
      <c r="BE223" s="6"/>
      <c r="BF223" s="6"/>
      <c r="BG223" s="91"/>
      <c r="BH223" s="71"/>
      <c r="BI223" s="6"/>
      <c r="BJ223" s="8"/>
      <c r="BK223" s="6"/>
      <c r="BL223" s="6"/>
      <c r="BM223" s="6"/>
      <c r="BN223" s="6"/>
      <c r="BO223" s="6"/>
      <c r="BP223" s="8"/>
      <c r="BQ223" s="5"/>
    </row>
    <row r="224" spans="1:69" s="5" customFormat="1" ht="11.25" customHeight="1" x14ac:dyDescent="0.2">
      <c r="A224" s="25" t="s">
        <v>7</v>
      </c>
      <c r="B224" s="25"/>
      <c r="C224" s="25"/>
      <c r="D224" s="25"/>
      <c r="H224" s="136" t="str">
        <f t="shared" si="82"/>
        <v>Krompir pozni</v>
      </c>
      <c r="I224" s="152" t="str">
        <f>+I$72</f>
        <v xml:space="preserve">  Od tega: domače delo neto</v>
      </c>
      <c r="J224" s="165" t="str">
        <f>+J$72</f>
        <v>EUR/ha</v>
      </c>
      <c r="K224" s="171">
        <v>1661.1638278871189</v>
      </c>
      <c r="L224" s="171">
        <v>1745.8953465147122</v>
      </c>
      <c r="M224" s="172">
        <f t="shared" si="84"/>
        <v>105.10073222190046</v>
      </c>
      <c r="N224" s="8"/>
      <c r="O224" s="171">
        <v>2009.1598952059055</v>
      </c>
      <c r="P224" s="171">
        <v>1745.8953465147122</v>
      </c>
      <c r="Q224" s="171">
        <v>1477.4309214450423</v>
      </c>
      <c r="R224" s="171">
        <v>1340.0128061092869</v>
      </c>
      <c r="S224" s="171">
        <v>1569.2123179705588</v>
      </c>
      <c r="T224" s="171">
        <v>1784.1239830672969</v>
      </c>
      <c r="U224" s="1"/>
      <c r="V224" s="1"/>
      <c r="W224" s="156">
        <f t="shared" si="81"/>
        <v>115.07905666950438</v>
      </c>
      <c r="X224" s="156">
        <f t="shared" si="81"/>
        <v>100</v>
      </c>
      <c r="Y224" s="156">
        <f t="shared" si="81"/>
        <v>84.62310896208075</v>
      </c>
      <c r="Z224" s="156">
        <f t="shared" si="81"/>
        <v>76.752183845630924</v>
      </c>
      <c r="AA224" s="156">
        <f t="shared" si="81"/>
        <v>89.880090527942514</v>
      </c>
      <c r="AB224" s="156">
        <f t="shared" si="81"/>
        <v>102.18962932852187</v>
      </c>
      <c r="AC224" s="4"/>
      <c r="AD224" s="4"/>
      <c r="AE224" s="4"/>
      <c r="AF224" s="4"/>
      <c r="AG224" s="4"/>
      <c r="AH224" s="4"/>
      <c r="AI224" s="4"/>
      <c r="AJ224" s="4"/>
      <c r="AK224" s="4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Y224" s="38"/>
      <c r="AZ224" s="38"/>
      <c r="BC224" s="1"/>
      <c r="BD224" s="1"/>
      <c r="BE224" s="7"/>
      <c r="BF224" s="7"/>
      <c r="BG224" s="91"/>
      <c r="BH224" s="70"/>
      <c r="BI224" s="7"/>
      <c r="BJ224" s="4"/>
      <c r="BK224" s="7"/>
      <c r="BL224" s="7"/>
      <c r="BM224" s="7"/>
      <c r="BN224" s="7"/>
      <c r="BO224" s="7"/>
      <c r="BP224" s="4"/>
    </row>
    <row r="225" spans="1:69" s="10" customFormat="1" ht="11.25" customHeight="1" x14ac:dyDescent="0.2">
      <c r="A225" s="25" t="s">
        <v>6</v>
      </c>
      <c r="B225" s="25"/>
      <c r="C225" s="25"/>
      <c r="D225" s="25"/>
      <c r="F225" s="5"/>
      <c r="G225" s="5"/>
      <c r="H225" s="136" t="str">
        <f t="shared" si="82"/>
        <v>Krompir pozni</v>
      </c>
      <c r="I225" s="151" t="str">
        <f>+I$73</f>
        <v>Stroški skupaj</v>
      </c>
      <c r="J225" s="168" t="str">
        <f>+J$73</f>
        <v>EUR/ha</v>
      </c>
      <c r="K225" s="169">
        <v>8418.8287954079115</v>
      </c>
      <c r="L225" s="169">
        <v>8421.6956222323006</v>
      </c>
      <c r="M225" s="170">
        <f t="shared" si="84"/>
        <v>100.03405256115853</v>
      </c>
      <c r="N225" s="8"/>
      <c r="O225" s="169">
        <v>9147.9015734211225</v>
      </c>
      <c r="P225" s="169">
        <v>8421.6956222323006</v>
      </c>
      <c r="Q225" s="169">
        <v>7621.4341248128994</v>
      </c>
      <c r="R225" s="169">
        <v>7144.1852859312203</v>
      </c>
      <c r="S225" s="169">
        <v>7957.2356175543646</v>
      </c>
      <c r="T225" s="169">
        <v>8559.6799326002583</v>
      </c>
      <c r="U225" s="1"/>
      <c r="V225" s="9"/>
      <c r="W225" s="155">
        <f t="shared" si="81"/>
        <v>108.62303725714952</v>
      </c>
      <c r="X225" s="155">
        <f t="shared" si="81"/>
        <v>100</v>
      </c>
      <c r="Y225" s="155">
        <f t="shared" si="81"/>
        <v>90.497620273679757</v>
      </c>
      <c r="Z225" s="155">
        <f t="shared" si="81"/>
        <v>84.830723008694349</v>
      </c>
      <c r="AA225" s="155">
        <f t="shared" si="81"/>
        <v>94.484958546212297</v>
      </c>
      <c r="AB225" s="155">
        <f t="shared" si="81"/>
        <v>101.63843858241202</v>
      </c>
      <c r="AC225" s="8"/>
      <c r="AD225" s="8"/>
      <c r="AE225" s="8"/>
      <c r="AF225" s="8"/>
      <c r="AG225" s="8"/>
      <c r="AH225" s="8"/>
      <c r="AI225" s="8"/>
      <c r="AJ225" s="8"/>
      <c r="AK225" s="8"/>
      <c r="AL225" s="1"/>
      <c r="AM225" s="1"/>
      <c r="AN225" s="9"/>
      <c r="AO225" s="9"/>
      <c r="AP225" s="9"/>
      <c r="AQ225" s="9"/>
      <c r="AR225" s="9"/>
      <c r="AS225" s="9"/>
      <c r="AT225" s="9"/>
      <c r="AU225" s="9"/>
      <c r="AY225" s="38"/>
      <c r="AZ225" s="38"/>
      <c r="BB225" s="5"/>
      <c r="BC225" s="9"/>
      <c r="BD225" s="9"/>
      <c r="BE225" s="6"/>
      <c r="BF225" s="6"/>
      <c r="BG225" s="91"/>
      <c r="BH225" s="71"/>
      <c r="BI225" s="6"/>
      <c r="BJ225" s="8"/>
      <c r="BK225" s="6"/>
      <c r="BL225" s="6"/>
      <c r="BM225" s="6"/>
      <c r="BN225" s="6"/>
      <c r="BO225" s="6"/>
      <c r="BP225" s="8"/>
      <c r="BQ225" s="5"/>
    </row>
    <row r="226" spans="1:69" s="5" customFormat="1" ht="11.25" customHeight="1" x14ac:dyDescent="0.25">
      <c r="A226" s="25" t="s">
        <v>5</v>
      </c>
      <c r="B226" s="25"/>
      <c r="C226" s="25"/>
      <c r="D226" s="25"/>
      <c r="H226" s="136" t="str">
        <f t="shared" si="82"/>
        <v>Krompir pozni</v>
      </c>
      <c r="I226" s="152" t="str">
        <f>+I$74</f>
        <v>Stranski pridelki</v>
      </c>
      <c r="J226" s="165" t="str">
        <f>+J$74</f>
        <v>EUR/ha</v>
      </c>
      <c r="K226" s="171">
        <v>332.8</v>
      </c>
      <c r="L226" s="171">
        <v>579.20000000000005</v>
      </c>
      <c r="M226" s="172">
        <f t="shared" si="84"/>
        <v>174.03846153846155</v>
      </c>
      <c r="N226" s="8"/>
      <c r="O226" s="171">
        <v>724.00000000000011</v>
      </c>
      <c r="P226" s="171">
        <v>579.20000000000005</v>
      </c>
      <c r="Q226" s="171">
        <v>434.40000000000003</v>
      </c>
      <c r="R226" s="171">
        <v>362.00000000000006</v>
      </c>
      <c r="S226" s="171">
        <v>434.40000000000003</v>
      </c>
      <c r="T226" s="171">
        <v>579.20000000000005</v>
      </c>
      <c r="U226" s="1"/>
      <c r="V226" s="1"/>
      <c r="W226" s="156">
        <f t="shared" si="81"/>
        <v>125</v>
      </c>
      <c r="X226" s="156">
        <f t="shared" si="81"/>
        <v>100</v>
      </c>
      <c r="Y226" s="156">
        <f t="shared" si="81"/>
        <v>75</v>
      </c>
      <c r="Z226" s="156">
        <f t="shared" si="81"/>
        <v>62.5</v>
      </c>
      <c r="AA226" s="156">
        <f t="shared" si="81"/>
        <v>75</v>
      </c>
      <c r="AB226" s="156">
        <f t="shared" si="81"/>
        <v>100</v>
      </c>
      <c r="AC226" s="4"/>
      <c r="AD226" s="4"/>
      <c r="AE226" s="339" t="s">
        <v>221</v>
      </c>
      <c r="AF226" s="340"/>
      <c r="AG226" s="340"/>
      <c r="AH226" s="340"/>
      <c r="AI226" s="340"/>
      <c r="AJ226" s="340"/>
      <c r="AK226" s="340"/>
      <c r="AL226" s="340"/>
      <c r="AM226" s="340"/>
      <c r="AN226" s="1"/>
      <c r="AO226" s="1"/>
      <c r="AP226" s="1"/>
      <c r="AQ226" s="1"/>
      <c r="AR226" s="1"/>
      <c r="AS226" s="1"/>
      <c r="AT226" s="1"/>
      <c r="AU226" s="1"/>
      <c r="AY226" s="38"/>
      <c r="AZ226" s="38"/>
      <c r="BC226" s="1"/>
      <c r="BD226" s="1"/>
      <c r="BE226" s="7"/>
      <c r="BF226" s="7"/>
      <c r="BG226" s="91"/>
      <c r="BH226" s="70"/>
      <c r="BI226" s="7"/>
      <c r="BJ226" s="4"/>
      <c r="BK226" s="7"/>
      <c r="BL226" s="7"/>
      <c r="BM226" s="7"/>
      <c r="BN226" s="7"/>
      <c r="BO226" s="7"/>
      <c r="BP226" s="4"/>
    </row>
    <row r="227" spans="1:69" s="5" customFormat="1" ht="11.25" customHeight="1" x14ac:dyDescent="0.25">
      <c r="A227" s="25"/>
      <c r="B227" s="25"/>
      <c r="C227" s="25"/>
      <c r="D227" s="25"/>
      <c r="H227" s="136" t="str">
        <f t="shared" si="82"/>
        <v>Krompir pozni</v>
      </c>
      <c r="I227" s="152" t="str">
        <f>+I$75</f>
        <v>Stroški glavnega pridelka</v>
      </c>
      <c r="J227" s="165" t="str">
        <f>+J$75</f>
        <v>EUR/ha</v>
      </c>
      <c r="K227" s="171">
        <f>+K225-K226</f>
        <v>8086.0287954079113</v>
      </c>
      <c r="L227" s="171">
        <f>+L225-L226</f>
        <v>7842.4956222323008</v>
      </c>
      <c r="M227" s="172">
        <f t="shared" si="84"/>
        <v>96.988222781077482</v>
      </c>
      <c r="N227" s="8"/>
      <c r="O227" s="171">
        <f>+O225-O226</f>
        <v>8423.9015734211225</v>
      </c>
      <c r="P227" s="171">
        <f>+P225-P226</f>
        <v>7842.4956222323008</v>
      </c>
      <c r="Q227" s="171">
        <f>+Q225-Q226</f>
        <v>7187.0341248128998</v>
      </c>
      <c r="R227" s="171">
        <f>+R225-R226</f>
        <v>6782.1852859312203</v>
      </c>
      <c r="S227" s="171">
        <f t="shared" ref="S227:T227" si="85">+S225-S226</f>
        <v>7522.8356175543649</v>
      </c>
      <c r="T227" s="171">
        <f t="shared" si="85"/>
        <v>7980.4799326002585</v>
      </c>
      <c r="U227" s="1"/>
      <c r="V227" s="1"/>
      <c r="W227" s="156">
        <f t="shared" si="81"/>
        <v>107.41353236513926</v>
      </c>
      <c r="X227" s="156">
        <f t="shared" si="81"/>
        <v>100</v>
      </c>
      <c r="Y227" s="156">
        <f t="shared" si="81"/>
        <v>91.642182170159387</v>
      </c>
      <c r="Z227" s="156">
        <f t="shared" si="81"/>
        <v>86.479937160624488</v>
      </c>
      <c r="AA227" s="156">
        <f t="shared" si="81"/>
        <v>95.924001490396151</v>
      </c>
      <c r="AB227" s="156">
        <f t="shared" si="81"/>
        <v>101.75944389406853</v>
      </c>
      <c r="AC227" s="4"/>
      <c r="AD227" s="4"/>
      <c r="AE227" s="192" t="str">
        <f>AF$10&amp;""&amp;$L$56&amp;", upoštevani stroški zmanjšani za subvencije"</f>
        <v>prva ocena letine 2021, upoštevani stroški zmanjšani za subvencije</v>
      </c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Y227" s="38"/>
      <c r="AZ227" s="38"/>
      <c r="BC227" s="1"/>
      <c r="BD227" s="1"/>
      <c r="BE227" s="17"/>
      <c r="BF227" s="17"/>
      <c r="BG227" s="91"/>
      <c r="BH227" s="17"/>
      <c r="BI227" s="17"/>
      <c r="BJ227" s="17"/>
      <c r="BK227" s="17"/>
      <c r="BL227" s="17"/>
      <c r="BM227" s="17"/>
      <c r="BN227" s="17"/>
      <c r="BO227" s="17"/>
      <c r="BP227" s="4"/>
    </row>
    <row r="228" spans="1:69" s="5" customFormat="1" ht="11.25" customHeight="1" x14ac:dyDescent="0.2">
      <c r="A228" s="25" t="s">
        <v>4</v>
      </c>
      <c r="B228" s="25" t="s">
        <v>3</v>
      </c>
      <c r="C228" s="21" t="s">
        <v>2</v>
      </c>
      <c r="D228" s="21" t="s">
        <v>1</v>
      </c>
      <c r="H228" s="136" t="str">
        <f t="shared" si="82"/>
        <v>Krompir pozni</v>
      </c>
      <c r="I228" s="152" t="str">
        <f>+I$76</f>
        <v>Subvencije</v>
      </c>
      <c r="J228" s="165" t="str">
        <f>+J$76</f>
        <v>EUR/ha</v>
      </c>
      <c r="K228" s="171">
        <v>312.92580999999996</v>
      </c>
      <c r="L228" s="171">
        <v>307.73081779999995</v>
      </c>
      <c r="M228" s="172">
        <f t="shared" si="84"/>
        <v>98.339864583237798</v>
      </c>
      <c r="N228" s="8"/>
      <c r="O228" s="171">
        <v>307.73081779999995</v>
      </c>
      <c r="P228" s="171">
        <v>307.73081779999995</v>
      </c>
      <c r="Q228" s="171">
        <v>307.73081779999995</v>
      </c>
      <c r="R228" s="171">
        <v>307.73081779999995</v>
      </c>
      <c r="S228" s="171">
        <v>307.73081779999995</v>
      </c>
      <c r="T228" s="171">
        <v>307.73081779999995</v>
      </c>
      <c r="U228" s="1"/>
      <c r="V228" s="1"/>
      <c r="W228" s="156">
        <f t="shared" si="81"/>
        <v>100</v>
      </c>
      <c r="X228" s="156">
        <f t="shared" si="81"/>
        <v>100</v>
      </c>
      <c r="Y228" s="156">
        <f t="shared" si="81"/>
        <v>100</v>
      </c>
      <c r="Z228" s="156">
        <f t="shared" si="81"/>
        <v>100</v>
      </c>
      <c r="AA228" s="156">
        <f t="shared" si="81"/>
        <v>100</v>
      </c>
      <c r="AB228" s="156">
        <f t="shared" si="81"/>
        <v>100</v>
      </c>
      <c r="AC228" s="4"/>
      <c r="AD228" s="4"/>
      <c r="AE228" s="4"/>
      <c r="AF228" s="4"/>
      <c r="AG228" s="4"/>
      <c r="AH228" s="4"/>
      <c r="AI228" s="4"/>
      <c r="AJ228" s="4"/>
      <c r="AK228" s="4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Y228" s="38"/>
      <c r="AZ228" s="38"/>
      <c r="BC228" s="1"/>
      <c r="BD228" s="1"/>
      <c r="BE228" s="6"/>
      <c r="BF228" s="6"/>
      <c r="BG228" s="91"/>
      <c r="BH228" s="70"/>
      <c r="BI228" s="6"/>
      <c r="BJ228" s="4"/>
      <c r="BK228" s="6"/>
      <c r="BL228" s="6"/>
      <c r="BM228" s="6"/>
      <c r="BN228" s="6"/>
      <c r="BO228" s="7"/>
      <c r="BP228" s="4"/>
    </row>
    <row r="229" spans="1:69" s="5" customFormat="1" ht="11.25" customHeight="1" x14ac:dyDescent="0.2">
      <c r="A229" s="25"/>
      <c r="B229" s="25"/>
      <c r="C229" s="25"/>
      <c r="D229" s="25"/>
      <c r="H229" s="136" t="str">
        <f t="shared" si="82"/>
        <v>Krompir pozni</v>
      </c>
      <c r="I229" s="151" t="str">
        <f>+I$77</f>
        <v>Stroški, zmanjšani za subvencije</v>
      </c>
      <c r="J229" s="168" t="str">
        <f>+J$77</f>
        <v>EUR/ha</v>
      </c>
      <c r="K229" s="169">
        <f>+K227-K228</f>
        <v>7773.1029854079115</v>
      </c>
      <c r="L229" s="169">
        <f>+L227-L228</f>
        <v>7534.7648044323005</v>
      </c>
      <c r="M229" s="170">
        <f t="shared" si="84"/>
        <v>96.933809040957868</v>
      </c>
      <c r="N229" s="8"/>
      <c r="O229" s="169">
        <f>+O227-O228</f>
        <v>8116.1707556211222</v>
      </c>
      <c r="P229" s="169">
        <f>+P227-P228</f>
        <v>7534.7648044323005</v>
      </c>
      <c r="Q229" s="169">
        <f>+Q227-Q228</f>
        <v>6879.3033070128995</v>
      </c>
      <c r="R229" s="169">
        <f>+R227-R228</f>
        <v>6474.45446813122</v>
      </c>
      <c r="S229" s="169">
        <f t="shared" ref="S229:T229" si="86">+S227-S228</f>
        <v>7215.1047997543646</v>
      </c>
      <c r="T229" s="169">
        <f t="shared" si="86"/>
        <v>7672.7491148002582</v>
      </c>
      <c r="U229" s="9"/>
      <c r="V229" s="9"/>
      <c r="W229" s="155">
        <f t="shared" si="81"/>
        <v>107.71631187275827</v>
      </c>
      <c r="X229" s="155">
        <f t="shared" si="81"/>
        <v>100</v>
      </c>
      <c r="Y229" s="155">
        <f t="shared" si="81"/>
        <v>91.300836662694124</v>
      </c>
      <c r="Z229" s="155">
        <f t="shared" si="81"/>
        <v>85.927758014724546</v>
      </c>
      <c r="AA229" s="155">
        <f t="shared" si="81"/>
        <v>95.757531748172198</v>
      </c>
      <c r="AB229" s="155">
        <f t="shared" si="81"/>
        <v>101.83130215672809</v>
      </c>
      <c r="AC229" s="4"/>
      <c r="AD229" s="4"/>
      <c r="AE229" s="4"/>
      <c r="AF229" s="4"/>
      <c r="AG229" s="4"/>
      <c r="AH229" s="4"/>
      <c r="AI229" s="4"/>
      <c r="AJ229" s="4"/>
      <c r="AK229" s="4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Y229" s="38"/>
      <c r="AZ229" s="38"/>
      <c r="BC229" s="1"/>
      <c r="BD229" s="1"/>
      <c r="BE229" s="8"/>
      <c r="BF229" s="8"/>
      <c r="BG229" s="91"/>
      <c r="BH229" s="71"/>
      <c r="BI229" s="8"/>
      <c r="BJ229" s="8"/>
      <c r="BK229" s="8"/>
      <c r="BL229" s="8"/>
      <c r="BM229" s="8"/>
      <c r="BN229" s="8"/>
      <c r="BO229" s="8"/>
      <c r="BP229" s="4"/>
    </row>
    <row r="230" spans="1:69" s="3" customFormat="1" ht="11.25" customHeight="1" x14ac:dyDescent="0.2">
      <c r="A230" s="25"/>
      <c r="B230" s="25"/>
      <c r="C230" s="25"/>
      <c r="D230" s="25"/>
      <c r="F230" s="5"/>
      <c r="G230" s="5"/>
      <c r="H230" s="136" t="str">
        <f t="shared" si="82"/>
        <v>Krompir pozni</v>
      </c>
      <c r="I230" s="153" t="str">
        <f>+I$78</f>
        <v>Stroški, zmanjšani za subvencije/kg</v>
      </c>
      <c r="J230" s="173" t="str">
        <f>+J$78</f>
        <v>EUR/kg</v>
      </c>
      <c r="K230" s="174">
        <f>+K229/K210</f>
        <v>0.19432757463519779</v>
      </c>
      <c r="L230" s="174">
        <f>+L229/L210</f>
        <v>0.1883691201108075</v>
      </c>
      <c r="M230" s="170">
        <f t="shared" si="84"/>
        <v>96.933809040957868</v>
      </c>
      <c r="N230" s="8"/>
      <c r="O230" s="174">
        <f>+O229/O210</f>
        <v>0.16232341511242243</v>
      </c>
      <c r="P230" s="174">
        <f>+P229/P210</f>
        <v>0.1883691201108075</v>
      </c>
      <c r="Q230" s="174">
        <f>+Q229/Q210</f>
        <v>0.22931011023376333</v>
      </c>
      <c r="R230" s="174">
        <f>+R229/R210</f>
        <v>0.25897817872524881</v>
      </c>
      <c r="S230" s="174">
        <f t="shared" ref="S230:T230" si="87">+S229/S210</f>
        <v>0.24050349332514548</v>
      </c>
      <c r="T230" s="174">
        <f t="shared" si="87"/>
        <v>0.19181872787000645</v>
      </c>
      <c r="U230" s="1"/>
      <c r="V230" s="16"/>
      <c r="W230" s="157">
        <f t="shared" si="81"/>
        <v>86.173049498206623</v>
      </c>
      <c r="X230" s="157">
        <f t="shared" si="81"/>
        <v>100</v>
      </c>
      <c r="Y230" s="157">
        <f t="shared" si="81"/>
        <v>121.73444888359219</v>
      </c>
      <c r="Z230" s="157">
        <f t="shared" si="81"/>
        <v>137.48441282355927</v>
      </c>
      <c r="AA230" s="157">
        <f t="shared" si="81"/>
        <v>127.67670899756291</v>
      </c>
      <c r="AB230" s="157">
        <f t="shared" si="81"/>
        <v>101.83130215672809</v>
      </c>
      <c r="AC230" s="4"/>
      <c r="AD230" s="4"/>
      <c r="AE230" s="4"/>
      <c r="AF230" s="4"/>
      <c r="AG230" s="4"/>
      <c r="AH230" s="4"/>
      <c r="AI230" s="4"/>
      <c r="AJ230" s="4"/>
      <c r="AK230" s="4"/>
      <c r="AL230" s="1"/>
      <c r="AM230" s="1"/>
      <c r="AN230" s="16"/>
      <c r="AO230" s="16"/>
      <c r="AP230" s="16"/>
      <c r="AQ230" s="16"/>
      <c r="AR230" s="16"/>
      <c r="AS230" s="16"/>
      <c r="AT230" s="16"/>
      <c r="AU230" s="16"/>
      <c r="AY230" s="38"/>
      <c r="AZ230" s="38"/>
      <c r="BB230" s="5"/>
      <c r="BC230" s="16"/>
      <c r="BD230" s="16"/>
      <c r="BE230" s="15"/>
      <c r="BF230" s="15"/>
      <c r="BG230" s="91"/>
      <c r="BH230" s="75"/>
      <c r="BI230" s="14"/>
      <c r="BJ230" s="15"/>
      <c r="BK230" s="15"/>
      <c r="BL230" s="15"/>
      <c r="BM230" s="15"/>
      <c r="BN230" s="15"/>
      <c r="BO230" s="15"/>
      <c r="BP230" s="32"/>
      <c r="BQ230" s="5"/>
    </row>
    <row r="231" spans="1:69" s="3" customFormat="1" ht="11.25" customHeight="1" x14ac:dyDescent="0.2">
      <c r="A231" s="25" t="s">
        <v>30</v>
      </c>
      <c r="B231" s="25"/>
      <c r="C231" s="25"/>
      <c r="D231" s="25"/>
      <c r="F231" s="5"/>
      <c r="G231" s="5"/>
      <c r="H231" s="136" t="str">
        <f t="shared" si="82"/>
        <v>Krompir pozni</v>
      </c>
      <c r="I231" s="16" t="str">
        <f>+I$79</f>
        <v>Prodajna cena</v>
      </c>
      <c r="J231" s="175" t="str">
        <f>+J$79</f>
        <v>EUR/kg</v>
      </c>
      <c r="K231" s="176">
        <v>0.20799999999999999</v>
      </c>
      <c r="L231" s="176">
        <v>0.36199999999999993</v>
      </c>
      <c r="M231" s="164">
        <f t="shared" si="84"/>
        <v>174.03846153846152</v>
      </c>
      <c r="N231" s="8"/>
      <c r="O231" s="176">
        <v>0.36199999999999993</v>
      </c>
      <c r="P231" s="176">
        <v>0.36199999999999993</v>
      </c>
      <c r="Q231" s="176">
        <v>0.36199999999999993</v>
      </c>
      <c r="R231" s="176">
        <v>0.36199999999999993</v>
      </c>
      <c r="S231" s="176">
        <v>0.36199999999999993</v>
      </c>
      <c r="T231" s="176">
        <v>0.36199999999999993</v>
      </c>
      <c r="U231" s="1"/>
      <c r="V231" s="16"/>
      <c r="W231" s="73">
        <f t="shared" si="81"/>
        <v>100</v>
      </c>
      <c r="X231" s="73">
        <f t="shared" si="81"/>
        <v>100</v>
      </c>
      <c r="Y231" s="73">
        <f t="shared" si="81"/>
        <v>100</v>
      </c>
      <c r="Z231" s="73">
        <f t="shared" si="81"/>
        <v>100</v>
      </c>
      <c r="AA231" s="73">
        <f t="shared" si="81"/>
        <v>100</v>
      </c>
      <c r="AB231" s="73">
        <f t="shared" si="81"/>
        <v>100</v>
      </c>
      <c r="AC231" s="4"/>
      <c r="AD231" s="4"/>
      <c r="AE231" s="4"/>
      <c r="AF231" s="4"/>
      <c r="AG231" s="4"/>
      <c r="AH231" s="4"/>
      <c r="AI231" s="4"/>
      <c r="AJ231" s="4"/>
      <c r="AK231" s="4"/>
      <c r="AL231" s="1"/>
      <c r="AM231" s="1"/>
      <c r="AN231" s="16"/>
      <c r="AO231" s="16"/>
      <c r="AP231" s="16"/>
      <c r="AQ231" s="16"/>
      <c r="AR231" s="16"/>
      <c r="AS231" s="16"/>
      <c r="AT231" s="16"/>
      <c r="AU231" s="16"/>
      <c r="AY231" s="38"/>
      <c r="AZ231" s="38"/>
      <c r="BB231" s="5"/>
      <c r="BC231" s="16"/>
      <c r="BD231" s="16"/>
      <c r="BE231" s="74"/>
      <c r="BF231" s="74"/>
      <c r="BG231" s="91"/>
      <c r="BH231" s="75"/>
      <c r="BI231" s="6"/>
      <c r="BJ231" s="15"/>
      <c r="BK231" s="74"/>
      <c r="BL231" s="74"/>
      <c r="BM231" s="74"/>
      <c r="BN231" s="74"/>
      <c r="BO231" s="74"/>
      <c r="BP231" s="32"/>
      <c r="BQ231" s="5"/>
    </row>
    <row r="232" spans="1:69" s="10" customFormat="1" ht="11.25" customHeight="1" x14ac:dyDescent="0.2">
      <c r="A232" s="25"/>
      <c r="B232" s="25"/>
      <c r="C232" s="25"/>
      <c r="D232" s="25"/>
      <c r="F232" s="5"/>
      <c r="G232" s="5"/>
      <c r="H232" s="136" t="str">
        <f t="shared" si="82"/>
        <v>Krompir pozni</v>
      </c>
      <c r="I232" s="9" t="str">
        <f>+I$80</f>
        <v>Vrednost proizvodnje skupaj</v>
      </c>
      <c r="J232" s="159" t="str">
        <f>+J$80</f>
        <v>EUR/ha</v>
      </c>
      <c r="K232" s="163">
        <f>+K231*K210+K226+K228</f>
        <v>8965.7258099999999</v>
      </c>
      <c r="L232" s="163">
        <f>+L231*L210+L226+L228</f>
        <v>15366.930817799999</v>
      </c>
      <c r="M232" s="164">
        <f t="shared" si="84"/>
        <v>171.39639493168929</v>
      </c>
      <c r="N232" s="8"/>
      <c r="O232" s="163">
        <f>+O231*O210+O226+O228</f>
        <v>19131.730817799995</v>
      </c>
      <c r="P232" s="163">
        <f>+P231*P210+P226+P228</f>
        <v>15366.930817799999</v>
      </c>
      <c r="Q232" s="163">
        <f>+Q231*Q210+Q226+Q228</f>
        <v>11602.130817799998</v>
      </c>
      <c r="R232" s="163">
        <f>+R231*R210+R226+R228</f>
        <v>9719.7308177999985</v>
      </c>
      <c r="S232" s="163">
        <f t="shared" ref="S232:T232" si="88">+S231*S210+S226+S228</f>
        <v>11602.130817799998</v>
      </c>
      <c r="T232" s="163">
        <f t="shared" si="88"/>
        <v>15366.930817799999</v>
      </c>
      <c r="U232" s="1"/>
      <c r="V232" s="9"/>
      <c r="W232" s="8">
        <f t="shared" si="81"/>
        <v>124.49936193920462</v>
      </c>
      <c r="X232" s="8">
        <f t="shared" si="81"/>
        <v>100</v>
      </c>
      <c r="Y232" s="8">
        <f t="shared" si="81"/>
        <v>75.500638060795367</v>
      </c>
      <c r="Z232" s="8">
        <f t="shared" si="81"/>
        <v>63.250957091193051</v>
      </c>
      <c r="AA232" s="8">
        <f t="shared" si="81"/>
        <v>75.500638060795367</v>
      </c>
      <c r="AB232" s="8">
        <f t="shared" si="81"/>
        <v>100</v>
      </c>
      <c r="AC232" s="8"/>
      <c r="AD232" s="8"/>
      <c r="AE232" s="8"/>
      <c r="AF232" s="8"/>
      <c r="AG232" s="8"/>
      <c r="AH232" s="8"/>
      <c r="AI232" s="8"/>
      <c r="AJ232" s="8"/>
      <c r="AK232" s="8"/>
      <c r="AL232" s="1"/>
      <c r="AM232" s="1"/>
      <c r="AN232" s="9"/>
      <c r="AO232" s="9"/>
      <c r="AP232" s="9"/>
      <c r="AQ232" s="9"/>
      <c r="AR232" s="9"/>
      <c r="AS232" s="9"/>
      <c r="AT232" s="9"/>
      <c r="AU232" s="9"/>
      <c r="AY232" s="38"/>
      <c r="AZ232" s="38"/>
      <c r="BB232" s="5"/>
      <c r="BC232" s="9"/>
      <c r="BD232" s="9"/>
      <c r="BE232" s="8"/>
      <c r="BF232" s="8"/>
      <c r="BG232" s="91"/>
      <c r="BH232" s="71"/>
      <c r="BI232" s="8"/>
      <c r="BJ232" s="8"/>
      <c r="BK232" s="8"/>
      <c r="BL232" s="8"/>
      <c r="BM232" s="8"/>
      <c r="BN232" s="8"/>
      <c r="BO232" s="8"/>
      <c r="BP232" s="8"/>
      <c r="BQ232" s="5"/>
    </row>
    <row r="233" spans="1:69" s="5" customFormat="1" ht="11.25" customHeight="1" x14ac:dyDescent="0.2">
      <c r="A233" s="25"/>
      <c r="B233" s="25"/>
      <c r="C233" s="25"/>
      <c r="D233" s="25"/>
      <c r="H233" s="136" t="str">
        <f t="shared" si="82"/>
        <v>Krompir pozni</v>
      </c>
      <c r="I233" s="1" t="str">
        <f>+I$81</f>
        <v xml:space="preserve">  Od tega interna realizacija</v>
      </c>
      <c r="J233" s="162" t="str">
        <f>+J$81</f>
        <v>EUR/ha</v>
      </c>
      <c r="K233" s="177">
        <f>+K232-K235</f>
        <v>0</v>
      </c>
      <c r="L233" s="177">
        <f>+L232-L235</f>
        <v>0</v>
      </c>
      <c r="M233" s="164" t="e">
        <f t="shared" si="84"/>
        <v>#DIV/0!</v>
      </c>
      <c r="N233" s="8"/>
      <c r="O233" s="177">
        <f>+O232-O235</f>
        <v>0</v>
      </c>
      <c r="P233" s="177">
        <f>+P232-P235</f>
        <v>0</v>
      </c>
      <c r="Q233" s="177">
        <f>+Q232-Q235</f>
        <v>0</v>
      </c>
      <c r="R233" s="177">
        <f>+R232-R235</f>
        <v>0</v>
      </c>
      <c r="S233" s="177">
        <f t="shared" ref="S233:T233" si="89">+S232-S235</f>
        <v>0</v>
      </c>
      <c r="T233" s="177">
        <f t="shared" si="89"/>
        <v>0</v>
      </c>
      <c r="U233" s="1"/>
      <c r="V233" s="1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Y233" s="38"/>
      <c r="AZ233" s="38"/>
      <c r="BC233" s="1"/>
      <c r="BD233" s="1"/>
      <c r="BE233" s="4"/>
      <c r="BF233" s="4"/>
      <c r="BG233" s="91"/>
      <c r="BH233" s="70"/>
      <c r="BI233" s="4"/>
      <c r="BJ233" s="8"/>
      <c r="BK233" s="4"/>
      <c r="BL233" s="4"/>
      <c r="BM233" s="4"/>
      <c r="BN233" s="4"/>
      <c r="BO233" s="4"/>
      <c r="BP233" s="4"/>
    </row>
    <row r="234" spans="1:69" s="5" customFormat="1" ht="11.25" customHeight="1" x14ac:dyDescent="0.2">
      <c r="A234" s="25"/>
      <c r="B234" s="25"/>
      <c r="C234" s="25"/>
      <c r="D234" s="25"/>
      <c r="H234" s="136" t="str">
        <f t="shared" si="82"/>
        <v>Krompir pozni</v>
      </c>
      <c r="I234" s="151" t="str">
        <f>+I$82</f>
        <v>OBRAČUN DOHODKA</v>
      </c>
      <c r="J234" s="165"/>
      <c r="K234" s="171"/>
      <c r="L234" s="171"/>
      <c r="M234" s="170"/>
      <c r="N234" s="8"/>
      <c r="O234" s="171"/>
      <c r="P234" s="171"/>
      <c r="Q234" s="171"/>
      <c r="R234" s="171"/>
      <c r="S234" s="171"/>
      <c r="T234" s="171"/>
      <c r="U234" s="1"/>
      <c r="V234" s="1"/>
      <c r="W234" s="156"/>
      <c r="X234" s="156"/>
      <c r="Y234" s="156"/>
      <c r="Z234" s="156"/>
      <c r="AA234" s="156"/>
      <c r="AB234" s="156"/>
      <c r="AC234" s="4"/>
      <c r="AD234" s="4"/>
      <c r="AE234" s="4"/>
      <c r="AF234" s="4"/>
      <c r="AG234" s="4"/>
      <c r="AH234" s="4"/>
      <c r="AI234" s="4"/>
      <c r="AJ234" s="4"/>
      <c r="AK234" s="4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Y234" s="38"/>
      <c r="AZ234" s="38"/>
      <c r="BC234" s="9"/>
      <c r="BD234" s="1"/>
      <c r="BE234" s="4"/>
      <c r="BF234" s="4"/>
      <c r="BG234" s="91"/>
      <c r="BH234" s="70"/>
      <c r="BI234" s="4"/>
      <c r="BJ234" s="8"/>
      <c r="BK234" s="4"/>
      <c r="BL234" s="4"/>
      <c r="BM234" s="4"/>
      <c r="BN234" s="4"/>
      <c r="BO234" s="4"/>
      <c r="BP234" s="4"/>
    </row>
    <row r="235" spans="1:69" s="5" customFormat="1" ht="11.25" customHeight="1" x14ac:dyDescent="0.2">
      <c r="A235" s="25" t="s">
        <v>29</v>
      </c>
      <c r="B235" s="25"/>
      <c r="C235" s="25"/>
      <c r="D235" s="25"/>
      <c r="H235" s="136" t="str">
        <f t="shared" si="82"/>
        <v>Krompir pozni</v>
      </c>
      <c r="I235" s="152" t="str">
        <f>+I$83</f>
        <v>Vrednost finalne proizvodnje skupaj</v>
      </c>
      <c r="J235" s="165" t="str">
        <f>+J$83</f>
        <v>EUR/ha</v>
      </c>
      <c r="K235" s="171">
        <v>8965.7258099999999</v>
      </c>
      <c r="L235" s="171">
        <v>15366.930817799999</v>
      </c>
      <c r="M235" s="172">
        <f t="shared" ref="M235:M242" si="90">L235/K235*100</f>
        <v>171.39639493168929</v>
      </c>
      <c r="N235" s="8"/>
      <c r="O235" s="171">
        <v>19131.730817799995</v>
      </c>
      <c r="P235" s="171">
        <v>15366.930817799999</v>
      </c>
      <c r="Q235" s="171">
        <v>11602.130817799998</v>
      </c>
      <c r="R235" s="171">
        <v>9719.7308177999985</v>
      </c>
      <c r="S235" s="171">
        <v>11602.130817799998</v>
      </c>
      <c r="T235" s="171">
        <v>15366.930817799999</v>
      </c>
      <c r="U235" s="1"/>
      <c r="V235" s="1"/>
      <c r="W235" s="156">
        <f t="shared" si="81"/>
        <v>124.49936193920462</v>
      </c>
      <c r="X235" s="156">
        <f t="shared" si="81"/>
        <v>100</v>
      </c>
      <c r="Y235" s="156">
        <f t="shared" si="81"/>
        <v>75.500638060795367</v>
      </c>
      <c r="Z235" s="156">
        <f t="shared" si="81"/>
        <v>63.250957091193051</v>
      </c>
      <c r="AA235" s="156">
        <f t="shared" si="81"/>
        <v>75.500638060795367</v>
      </c>
      <c r="AB235" s="156">
        <f t="shared" si="81"/>
        <v>100</v>
      </c>
      <c r="AC235" s="4"/>
      <c r="AD235" s="4"/>
      <c r="AE235" s="4"/>
      <c r="AF235" s="4"/>
      <c r="AG235" s="4"/>
      <c r="AH235" s="4"/>
      <c r="AI235" s="4"/>
      <c r="AJ235" s="4"/>
      <c r="AK235" s="4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Y235" s="38"/>
      <c r="AZ235" s="38"/>
      <c r="BC235" s="1"/>
      <c r="BD235" s="1"/>
      <c r="BE235" s="41"/>
      <c r="BF235" s="41"/>
      <c r="BG235" s="91"/>
      <c r="BH235" s="70"/>
      <c r="BI235" s="41"/>
      <c r="BJ235" s="4"/>
      <c r="BK235" s="41"/>
      <c r="BL235" s="41"/>
      <c r="BM235" s="41"/>
      <c r="BN235" s="41"/>
      <c r="BO235" s="41"/>
      <c r="BP235" s="4"/>
    </row>
    <row r="236" spans="1:69" s="5" customFormat="1" ht="11.25" customHeight="1" x14ac:dyDescent="0.2">
      <c r="A236" s="25" t="s">
        <v>28</v>
      </c>
      <c r="B236" s="25"/>
      <c r="C236" s="25"/>
      <c r="D236" s="25"/>
      <c r="H236" s="136" t="str">
        <f t="shared" si="82"/>
        <v>Krompir pozni</v>
      </c>
      <c r="I236" s="152" t="str">
        <f>+I$84</f>
        <v>Stroški zmanjšani za interno realizacijo</v>
      </c>
      <c r="J236" s="165" t="str">
        <f>+J$84</f>
        <v>EUR/ha</v>
      </c>
      <c r="K236" s="171">
        <v>8418.8287954079078</v>
      </c>
      <c r="L236" s="171">
        <v>8421.6956222322988</v>
      </c>
      <c r="M236" s="172">
        <f t="shared" si="90"/>
        <v>100.03405256115856</v>
      </c>
      <c r="N236" s="8"/>
      <c r="O236" s="171">
        <v>9147.9015734211262</v>
      </c>
      <c r="P236" s="171">
        <v>8421.6956222322988</v>
      </c>
      <c r="Q236" s="171">
        <v>7621.4341248128994</v>
      </c>
      <c r="R236" s="171">
        <v>7144.1852859312203</v>
      </c>
      <c r="S236" s="171">
        <v>7957.2356175543646</v>
      </c>
      <c r="T236" s="171">
        <v>8559.6799326002583</v>
      </c>
      <c r="U236" s="1"/>
      <c r="V236" s="1"/>
      <c r="W236" s="156">
        <f t="shared" si="81"/>
        <v>108.62303725714959</v>
      </c>
      <c r="X236" s="156">
        <f t="shared" si="81"/>
        <v>100</v>
      </c>
      <c r="Y236" s="156">
        <f t="shared" si="81"/>
        <v>90.497620273679786</v>
      </c>
      <c r="Z236" s="156">
        <f t="shared" si="81"/>
        <v>84.830723008694363</v>
      </c>
      <c r="AA236" s="156">
        <f t="shared" si="81"/>
        <v>94.484958546212312</v>
      </c>
      <c r="AB236" s="156">
        <f t="shared" si="81"/>
        <v>101.63843858241204</v>
      </c>
      <c r="AC236" s="4"/>
      <c r="AD236" s="4"/>
      <c r="AE236" s="4"/>
      <c r="AF236" s="4"/>
      <c r="AG236" s="4"/>
      <c r="AH236" s="4"/>
      <c r="AI236" s="4"/>
      <c r="AJ236" s="4"/>
      <c r="AK236" s="4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Y236" s="38"/>
      <c r="AZ236" s="38"/>
      <c r="BC236" s="1"/>
      <c r="BD236" s="1"/>
      <c r="BE236" s="7"/>
      <c r="BF236" s="7"/>
      <c r="BG236" s="91"/>
      <c r="BH236" s="70"/>
      <c r="BI236" s="7"/>
      <c r="BJ236" s="4"/>
      <c r="BK236" s="7"/>
      <c r="BL236" s="7"/>
      <c r="BM236" s="7"/>
      <c r="BN236" s="7"/>
      <c r="BO236" s="7"/>
      <c r="BP236" s="4"/>
    </row>
    <row r="237" spans="1:69" s="5" customFormat="1" ht="11.25" customHeight="1" x14ac:dyDescent="0.2">
      <c r="A237" s="25" t="s">
        <v>27</v>
      </c>
      <c r="B237" s="25"/>
      <c r="C237" s="25"/>
      <c r="D237" s="25"/>
      <c r="H237" s="136" t="str">
        <f t="shared" si="82"/>
        <v>Krompir pozni</v>
      </c>
      <c r="I237" s="152" t="str">
        <f>+I$85</f>
        <v xml:space="preserve">  Stroški kupljenega blaga in storitev</v>
      </c>
      <c r="J237" s="165" t="str">
        <f>+J$85</f>
        <v>EUR/ha</v>
      </c>
      <c r="K237" s="171">
        <v>4656.9401383114673</v>
      </c>
      <c r="L237" s="171">
        <v>4426.9043320159153</v>
      </c>
      <c r="M237" s="172">
        <f t="shared" si="90"/>
        <v>95.060365831136508</v>
      </c>
      <c r="N237" s="8"/>
      <c r="O237" s="171">
        <v>4595.3478685849614</v>
      </c>
      <c r="P237" s="171">
        <v>4426.9043320159153</v>
      </c>
      <c r="Q237" s="171">
        <v>4202.463615625471</v>
      </c>
      <c r="R237" s="171">
        <v>4024.6873665102203</v>
      </c>
      <c r="S237" s="171">
        <v>4292.2666707983417</v>
      </c>
      <c r="T237" s="171">
        <v>4463.3738671167366</v>
      </c>
      <c r="U237" s="1"/>
      <c r="V237" s="1"/>
      <c r="W237" s="156">
        <f t="shared" si="81"/>
        <v>103.80499608611014</v>
      </c>
      <c r="X237" s="156">
        <f t="shared" si="81"/>
        <v>100</v>
      </c>
      <c r="Y237" s="156">
        <f t="shared" si="81"/>
        <v>94.930075295116239</v>
      </c>
      <c r="Z237" s="156">
        <f t="shared" si="81"/>
        <v>90.914261178024276</v>
      </c>
      <c r="AA237" s="156">
        <f t="shared" si="81"/>
        <v>96.958649857331281</v>
      </c>
      <c r="AB237" s="156">
        <f t="shared" si="81"/>
        <v>100.82381574946334</v>
      </c>
      <c r="AC237" s="4"/>
      <c r="AD237" s="4"/>
      <c r="AE237" s="4"/>
      <c r="AF237" s="4"/>
      <c r="AG237" s="4"/>
      <c r="AH237" s="4"/>
      <c r="AI237" s="4"/>
      <c r="AJ237" s="4"/>
      <c r="AK237" s="4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Y237" s="38"/>
      <c r="AZ237" s="38"/>
      <c r="BC237" s="1"/>
      <c r="BD237" s="1"/>
      <c r="BE237" s="7"/>
      <c r="BF237" s="7"/>
      <c r="BG237" s="91"/>
      <c r="BH237" s="70"/>
      <c r="BI237" s="7"/>
      <c r="BJ237" s="4"/>
      <c r="BK237" s="7"/>
      <c r="BL237" s="7"/>
      <c r="BM237" s="7"/>
      <c r="BN237" s="7"/>
      <c r="BO237" s="7"/>
      <c r="BP237" s="4"/>
    </row>
    <row r="238" spans="1:69" s="5" customFormat="1" ht="11.25" customHeight="1" x14ac:dyDescent="0.2">
      <c r="A238" s="25" t="s">
        <v>26</v>
      </c>
      <c r="B238" s="25"/>
      <c r="C238" s="25"/>
      <c r="D238" s="25"/>
      <c r="H238" s="136" t="str">
        <f t="shared" si="82"/>
        <v>Krompir pozni</v>
      </c>
      <c r="I238" s="152" t="str">
        <f>+I$86</f>
        <v xml:space="preserve">  Amortizacija</v>
      </c>
      <c r="J238" s="165" t="str">
        <f>+J$86</f>
        <v>EUR/ha</v>
      </c>
      <c r="K238" s="171">
        <v>452.93686736475411</v>
      </c>
      <c r="L238" s="171">
        <v>512.5734568241021</v>
      </c>
      <c r="M238" s="172">
        <f t="shared" si="90"/>
        <v>113.16664501309452</v>
      </c>
      <c r="N238" s="8"/>
      <c r="O238" s="171">
        <v>568.24675687730564</v>
      </c>
      <c r="P238" s="171">
        <v>512.5734568241021</v>
      </c>
      <c r="Q238" s="171">
        <v>451.84138869926551</v>
      </c>
      <c r="R238" s="171">
        <v>418.36351284592831</v>
      </c>
      <c r="S238" s="171">
        <v>500.62433847265731</v>
      </c>
      <c r="T238" s="171">
        <v>532.26304870252557</v>
      </c>
      <c r="U238" s="1"/>
      <c r="V238" s="1"/>
      <c r="W238" s="156">
        <f t="shared" si="81"/>
        <v>110.86152615044769</v>
      </c>
      <c r="X238" s="156">
        <f t="shared" si="81"/>
        <v>100</v>
      </c>
      <c r="Y238" s="156">
        <f t="shared" si="81"/>
        <v>88.151538610459539</v>
      </c>
      <c r="Z238" s="156">
        <f t="shared" si="81"/>
        <v>81.620206289670705</v>
      </c>
      <c r="AA238" s="156">
        <f t="shared" si="81"/>
        <v>97.66879884388058</v>
      </c>
      <c r="AB238" s="156">
        <f t="shared" si="81"/>
        <v>103.84132100800146</v>
      </c>
      <c r="AC238" s="4"/>
      <c r="AD238" s="4"/>
      <c r="AE238" s="4"/>
      <c r="AF238" s="4"/>
      <c r="AG238" s="4"/>
      <c r="AH238" s="4"/>
      <c r="AI238" s="4"/>
      <c r="AJ238" s="4"/>
      <c r="AK238" s="4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Y238" s="38"/>
      <c r="AZ238" s="38"/>
      <c r="BC238" s="1"/>
      <c r="BD238" s="1"/>
      <c r="BE238" s="41"/>
      <c r="BF238" s="41"/>
      <c r="BG238" s="91"/>
      <c r="BH238" s="70"/>
      <c r="BI238" s="41"/>
      <c r="BJ238" s="4"/>
      <c r="BK238" s="41"/>
      <c r="BL238" s="41"/>
      <c r="BM238" s="41"/>
      <c r="BN238" s="41"/>
      <c r="BO238" s="41"/>
      <c r="BP238" s="4"/>
    </row>
    <row r="239" spans="1:69" s="10" customFormat="1" ht="11.25" customHeight="1" x14ac:dyDescent="0.2">
      <c r="A239" s="25"/>
      <c r="B239" s="25"/>
      <c r="C239" s="25"/>
      <c r="D239" s="25"/>
      <c r="F239" s="5"/>
      <c r="G239" s="5"/>
      <c r="H239" s="136" t="str">
        <f t="shared" si="82"/>
        <v>Krompir pozni</v>
      </c>
      <c r="I239" s="151" t="str">
        <f>+I$87</f>
        <v xml:space="preserve">  Stroški domačega dela in kapitala</v>
      </c>
      <c r="J239" s="168" t="str">
        <f>+J$87</f>
        <v>EUR/ha</v>
      </c>
      <c r="K239" s="169">
        <f>+K236-K237-K238</f>
        <v>3308.9517897316864</v>
      </c>
      <c r="L239" s="169">
        <f>+L236-L237-L238</f>
        <v>3482.2178333922811</v>
      </c>
      <c r="M239" s="170">
        <f t="shared" si="90"/>
        <v>105.2362819004578</v>
      </c>
      <c r="N239" s="8"/>
      <c r="O239" s="169">
        <f>+O236-O237-O238</f>
        <v>3984.3069479588594</v>
      </c>
      <c r="P239" s="169">
        <f>+P236-P237-P238</f>
        <v>3482.2178333922811</v>
      </c>
      <c r="Q239" s="169">
        <f>+Q236-Q237-Q238</f>
        <v>2967.1291204881627</v>
      </c>
      <c r="R239" s="169">
        <f>+R236-R237-R238</f>
        <v>2701.1344065750718</v>
      </c>
      <c r="S239" s="169">
        <f t="shared" ref="S239:T239" si="91">+S236-S237-S238</f>
        <v>3164.3446082833657</v>
      </c>
      <c r="T239" s="169">
        <f t="shared" si="91"/>
        <v>3564.0430167809964</v>
      </c>
      <c r="U239" s="1"/>
      <c r="V239" s="9"/>
      <c r="W239" s="155">
        <f t="shared" si="81"/>
        <v>114.41865898657628</v>
      </c>
      <c r="X239" s="155">
        <f t="shared" si="81"/>
        <v>100</v>
      </c>
      <c r="Y239" s="155">
        <f t="shared" si="81"/>
        <v>85.208027253070114</v>
      </c>
      <c r="Z239" s="155">
        <f t="shared" si="81"/>
        <v>77.569369172510989</v>
      </c>
      <c r="AA239" s="155">
        <f t="shared" si="81"/>
        <v>90.871529573460037</v>
      </c>
      <c r="AB239" s="155">
        <f t="shared" si="81"/>
        <v>102.34980082532641</v>
      </c>
      <c r="AC239" s="8"/>
      <c r="AD239" s="8"/>
      <c r="AE239" s="8"/>
      <c r="AF239" s="8"/>
      <c r="AG239" s="8"/>
      <c r="AH239" s="8"/>
      <c r="AI239" s="8"/>
      <c r="AJ239" s="8"/>
      <c r="AK239" s="8"/>
      <c r="AL239" s="1"/>
      <c r="AM239" s="1"/>
      <c r="AN239" s="9"/>
      <c r="AO239" s="9"/>
      <c r="AP239" s="9"/>
      <c r="AQ239" s="9"/>
      <c r="AR239" s="9"/>
      <c r="AS239" s="9"/>
      <c r="AT239" s="9"/>
      <c r="AU239" s="9"/>
      <c r="AY239" s="38"/>
      <c r="AZ239" s="38"/>
      <c r="BB239" s="5"/>
      <c r="BC239" s="9"/>
      <c r="BD239" s="9"/>
      <c r="BE239" s="8"/>
      <c r="BF239" s="8"/>
      <c r="BG239" s="91"/>
      <c r="BH239" s="71"/>
      <c r="BI239" s="8"/>
      <c r="BJ239" s="8"/>
      <c r="BK239" s="8"/>
      <c r="BL239" s="8"/>
      <c r="BM239" s="8"/>
      <c r="BN239" s="8"/>
      <c r="BO239" s="8"/>
      <c r="BP239" s="8"/>
      <c r="BQ239" s="5"/>
    </row>
    <row r="240" spans="1:69" s="5" customFormat="1" ht="11.25" customHeight="1" x14ac:dyDescent="0.2">
      <c r="A240" s="25"/>
      <c r="B240" s="25"/>
      <c r="C240" s="25"/>
      <c r="D240" s="25"/>
      <c r="H240" s="136" t="str">
        <f t="shared" si="82"/>
        <v>Krompir pozni</v>
      </c>
      <c r="I240" s="152" t="str">
        <f>+I$88</f>
        <v xml:space="preserve">Bruto dodana vrednost </v>
      </c>
      <c r="J240" s="165" t="str">
        <f>+J$88</f>
        <v>EUR/ha</v>
      </c>
      <c r="K240" s="171">
        <f>+K235-K237</f>
        <v>4308.7856716885326</v>
      </c>
      <c r="L240" s="171">
        <f>+L235-L237</f>
        <v>10940.026485784085</v>
      </c>
      <c r="M240" s="172">
        <f t="shared" si="90"/>
        <v>253.90045640160361</v>
      </c>
      <c r="N240" s="8"/>
      <c r="O240" s="171">
        <f>+O235-O237</f>
        <v>14536.382949215033</v>
      </c>
      <c r="P240" s="171">
        <f>+P235-P237</f>
        <v>10940.026485784085</v>
      </c>
      <c r="Q240" s="171">
        <f>+Q235-Q237</f>
        <v>7399.6672021745271</v>
      </c>
      <c r="R240" s="171">
        <f>+R235-R237</f>
        <v>5695.0434512897782</v>
      </c>
      <c r="S240" s="171">
        <f t="shared" ref="S240:T240" si="92">+S235-S237</f>
        <v>7309.8641470016564</v>
      </c>
      <c r="T240" s="171">
        <f t="shared" si="92"/>
        <v>10903.556950683262</v>
      </c>
      <c r="U240" s="1"/>
      <c r="V240" s="1"/>
      <c r="W240" s="156">
        <f t="shared" si="81"/>
        <v>132.87337985976723</v>
      </c>
      <c r="X240" s="156">
        <f t="shared" si="81"/>
        <v>100</v>
      </c>
      <c r="Y240" s="156">
        <f t="shared" si="81"/>
        <v>67.638476120601311</v>
      </c>
      <c r="Z240" s="156">
        <f t="shared" si="81"/>
        <v>52.056943908592444</v>
      </c>
      <c r="AA240" s="156">
        <f t="shared" si="81"/>
        <v>66.817609230657638</v>
      </c>
      <c r="AB240" s="156">
        <f t="shared" si="81"/>
        <v>99.666641254038893</v>
      </c>
      <c r="AC240" s="4"/>
      <c r="AD240" s="4"/>
      <c r="AE240" s="4"/>
      <c r="AF240" s="4"/>
      <c r="AG240" s="4"/>
      <c r="AH240" s="4"/>
      <c r="AI240" s="4"/>
      <c r="AJ240" s="4"/>
      <c r="AK240" s="4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Y240" s="38"/>
      <c r="AZ240" s="38"/>
      <c r="BC240" s="1"/>
      <c r="BD240" s="1"/>
      <c r="BE240" s="4"/>
      <c r="BF240" s="4"/>
      <c r="BG240" s="91"/>
      <c r="BH240" s="70"/>
      <c r="BI240" s="4"/>
      <c r="BJ240" s="4"/>
      <c r="BK240" s="4"/>
      <c r="BL240" s="4"/>
      <c r="BM240" s="4"/>
      <c r="BN240" s="4"/>
      <c r="BO240" s="4"/>
      <c r="BP240" s="4"/>
    </row>
    <row r="241" spans="1:69" s="10" customFormat="1" ht="11.25" customHeight="1" x14ac:dyDescent="0.2">
      <c r="A241" s="25"/>
      <c r="B241" s="25"/>
      <c r="C241" s="25"/>
      <c r="D241" s="25"/>
      <c r="F241" s="5"/>
      <c r="G241" s="5"/>
      <c r="H241" s="136" t="str">
        <f t="shared" si="82"/>
        <v>Krompir pozni</v>
      </c>
      <c r="I241" s="151" t="str">
        <f>+I$89</f>
        <v>Neto dodana vrednost</v>
      </c>
      <c r="J241" s="168" t="str">
        <f>+J$89</f>
        <v>EUR/ha</v>
      </c>
      <c r="K241" s="169">
        <f>+K240-K238</f>
        <v>3855.8488043237785</v>
      </c>
      <c r="L241" s="169">
        <f>+L240-L238</f>
        <v>10427.453028959982</v>
      </c>
      <c r="M241" s="170">
        <f t="shared" si="90"/>
        <v>270.43210349086036</v>
      </c>
      <c r="N241" s="8"/>
      <c r="O241" s="169">
        <f>+O240-O238</f>
        <v>13968.136192337726</v>
      </c>
      <c r="P241" s="169">
        <f>+P240-P238</f>
        <v>10427.453028959982</v>
      </c>
      <c r="Q241" s="169">
        <f>+Q240-Q238</f>
        <v>6947.8258134752614</v>
      </c>
      <c r="R241" s="169">
        <f>+R240-R238</f>
        <v>5276.67993844385</v>
      </c>
      <c r="S241" s="169">
        <f t="shared" ref="S241:T241" si="93">+S240-S238</f>
        <v>6809.2398085289988</v>
      </c>
      <c r="T241" s="169">
        <f t="shared" si="93"/>
        <v>10371.293901980736</v>
      </c>
      <c r="U241" s="1"/>
      <c r="V241" s="9"/>
      <c r="W241" s="155">
        <f t="shared" si="81"/>
        <v>133.95539786699845</v>
      </c>
      <c r="X241" s="155">
        <f t="shared" si="81"/>
        <v>100</v>
      </c>
      <c r="Y241" s="155">
        <f t="shared" si="81"/>
        <v>66.630132921042048</v>
      </c>
      <c r="Z241" s="155">
        <f t="shared" si="81"/>
        <v>50.603727715569846</v>
      </c>
      <c r="AA241" s="155">
        <f t="shared" si="81"/>
        <v>65.301083491988095</v>
      </c>
      <c r="AB241" s="155">
        <f t="shared" si="81"/>
        <v>99.461430065201199</v>
      </c>
      <c r="AC241" s="8"/>
      <c r="AD241" s="8"/>
      <c r="AE241" s="8"/>
      <c r="AF241" s="8"/>
      <c r="AG241" s="8"/>
      <c r="AH241" s="8"/>
      <c r="AI241" s="8"/>
      <c r="AJ241" s="8"/>
      <c r="AK241" s="8"/>
      <c r="AL241" s="1"/>
      <c r="AM241" s="1"/>
      <c r="AN241" s="9"/>
      <c r="AO241" s="9"/>
      <c r="AP241" s="9"/>
      <c r="AQ241" s="9"/>
      <c r="AR241" s="9"/>
      <c r="AS241" s="9"/>
      <c r="AT241" s="9"/>
      <c r="AU241" s="9"/>
      <c r="AY241" s="38"/>
      <c r="AZ241" s="38"/>
      <c r="BB241" s="5"/>
      <c r="BC241" s="9"/>
      <c r="BD241" s="9"/>
      <c r="BE241" s="8"/>
      <c r="BF241" s="8"/>
      <c r="BG241" s="91"/>
      <c r="BH241" s="71"/>
      <c r="BI241" s="8"/>
      <c r="BJ241" s="8"/>
      <c r="BK241" s="8"/>
      <c r="BL241" s="8"/>
      <c r="BM241" s="8"/>
      <c r="BN241" s="8"/>
      <c r="BO241" s="8"/>
      <c r="BP241" s="8"/>
      <c r="BQ241" s="5"/>
    </row>
    <row r="242" spans="1:69" s="5" customFormat="1" ht="11.25" customHeight="1" x14ac:dyDescent="0.25">
      <c r="A242" s="25" t="s">
        <v>25</v>
      </c>
      <c r="B242" s="25" t="s">
        <v>24</v>
      </c>
      <c r="C242" s="25"/>
      <c r="D242" s="25"/>
      <c r="H242" s="136" t="str">
        <f t="shared" si="82"/>
        <v>Krompir pozni</v>
      </c>
      <c r="I242" s="152" t="str">
        <f>+I$90</f>
        <v>Neto dodana vrednost/uro</v>
      </c>
      <c r="J242" s="167" t="str">
        <f>+J$90</f>
        <v>EUR/uro</v>
      </c>
      <c r="K242" s="171">
        <v>15.143526118329365</v>
      </c>
      <c r="L242" s="171">
        <v>40.931788732308945</v>
      </c>
      <c r="M242" s="172">
        <f t="shared" si="90"/>
        <v>270.29232434027421</v>
      </c>
      <c r="N242" s="8"/>
      <c r="O242" s="171">
        <v>47.746747110619175</v>
      </c>
      <c r="P242" s="171">
        <v>40.931788732308945</v>
      </c>
      <c r="Q242" s="171">
        <v>32.149599918882458</v>
      </c>
      <c r="R242" s="171">
        <v>26.88517427388809</v>
      </c>
      <c r="S242" s="171">
        <v>29.570125648717227</v>
      </c>
      <c r="T242" s="171">
        <v>39.791636735963209</v>
      </c>
      <c r="U242" s="1"/>
      <c r="V242" s="1"/>
      <c r="W242" s="156">
        <f t="shared" si="81"/>
        <v>116.64954938294925</v>
      </c>
      <c r="X242" s="156">
        <f t="shared" si="81"/>
        <v>100</v>
      </c>
      <c r="Y242" s="156">
        <f t="shared" si="81"/>
        <v>78.544331715231436</v>
      </c>
      <c r="Z242" s="156">
        <f t="shared" si="81"/>
        <v>65.682871691035203</v>
      </c>
      <c r="AA242" s="156">
        <f t="shared" si="81"/>
        <v>72.242446676600906</v>
      </c>
      <c r="AB242" s="156">
        <f t="shared" si="81"/>
        <v>97.214507277455539</v>
      </c>
      <c r="AC242" s="4"/>
      <c r="AD242" s="4"/>
      <c r="AE242" s="339" t="s">
        <v>230</v>
      </c>
      <c r="AF242" s="340"/>
      <c r="AG242" s="340"/>
      <c r="AH242" s="340"/>
      <c r="AI242" s="340"/>
      <c r="AJ242" s="340"/>
      <c r="AK242" s="340"/>
      <c r="AL242" s="340"/>
      <c r="AM242" s="340"/>
      <c r="AN242" s="1"/>
      <c r="AO242" s="1"/>
      <c r="AP242" s="1"/>
      <c r="AQ242" s="1"/>
      <c r="AR242" s="1"/>
      <c r="AS242" s="1"/>
      <c r="AT242" s="1"/>
      <c r="AU242" s="1"/>
      <c r="AY242" s="38"/>
      <c r="AZ242" s="38"/>
      <c r="BC242" s="1"/>
      <c r="BD242" s="19"/>
      <c r="BE242" s="41"/>
      <c r="BF242" s="41"/>
      <c r="BG242" s="91"/>
      <c r="BH242" s="70"/>
      <c r="BI242" s="41"/>
      <c r="BJ242" s="4"/>
      <c r="BK242" s="41"/>
      <c r="BL242" s="41"/>
      <c r="BM242" s="41"/>
      <c r="BN242" s="41"/>
      <c r="BO242" s="41"/>
      <c r="BP242" s="4"/>
    </row>
    <row r="243" spans="1:69" s="5" customFormat="1" ht="11.25" customHeight="1" x14ac:dyDescent="0.25">
      <c r="A243" s="37" t="s">
        <v>67</v>
      </c>
      <c r="B243" s="25"/>
      <c r="C243" s="25"/>
      <c r="D243" s="25"/>
      <c r="H243" s="136" t="str">
        <f t="shared" si="82"/>
        <v>Krompir pozni</v>
      </c>
      <c r="I243" s="1"/>
      <c r="J243" s="19"/>
      <c r="K243" s="35">
        <v>-5.9584545243902276E-3</v>
      </c>
      <c r="L243" s="35">
        <v>0</v>
      </c>
      <c r="M243" s="36"/>
      <c r="N243" s="36"/>
      <c r="O243" s="35">
        <v>0</v>
      </c>
      <c r="P243" s="35">
        <v>0</v>
      </c>
      <c r="Q243" s="35">
        <v>0</v>
      </c>
      <c r="R243" s="35">
        <v>0</v>
      </c>
      <c r="S243" s="35">
        <v>0</v>
      </c>
      <c r="T243" s="35">
        <v>0</v>
      </c>
      <c r="U243" s="35"/>
      <c r="V243" s="1"/>
      <c r="W243" s="4"/>
      <c r="X243" s="4"/>
      <c r="Y243" s="4"/>
      <c r="Z243" s="4"/>
      <c r="AA243" s="4"/>
      <c r="AB243" s="4"/>
      <c r="AC243" s="4"/>
      <c r="AD243" s="4"/>
      <c r="AE243" s="192" t="str">
        <f>AF$10&amp;""&amp;$L$56</f>
        <v>prva ocena letine 2021</v>
      </c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BC243" s="1"/>
      <c r="BD243" s="19"/>
      <c r="BE243" s="35"/>
      <c r="BF243" s="35"/>
      <c r="BG243" s="91"/>
      <c r="BH243" s="35"/>
      <c r="BI243" s="36"/>
      <c r="BJ243" s="36"/>
      <c r="BK243" s="35"/>
      <c r="BL243" s="35"/>
      <c r="BM243" s="35"/>
      <c r="BN243" s="35"/>
      <c r="BO243" s="35"/>
      <c r="BP243" s="4"/>
    </row>
    <row r="244" spans="1:69" s="5" customFormat="1" ht="10.199999999999999" x14ac:dyDescent="0.2">
      <c r="A244" s="25"/>
      <c r="B244" s="25"/>
      <c r="C244" s="25"/>
      <c r="D244" s="25"/>
      <c r="F244" s="25"/>
      <c r="G244" s="25"/>
      <c r="H244" s="136" t="str">
        <f>+I246</f>
        <v>Jabolka namizna</v>
      </c>
      <c r="I244" s="141" t="s">
        <v>148</v>
      </c>
      <c r="J244" s="140"/>
      <c r="K244" s="140"/>
      <c r="L244" s="140"/>
      <c r="M244" s="140"/>
      <c r="N244" s="140"/>
      <c r="O244" s="140"/>
      <c r="P244" s="140"/>
      <c r="Q244" s="140"/>
      <c r="R244" s="140"/>
      <c r="S244" s="140"/>
      <c r="T244" s="140"/>
      <c r="U244" s="140"/>
      <c r="V244" s="140"/>
      <c r="W244" s="140"/>
      <c r="X244" s="140"/>
      <c r="Y244" s="140"/>
      <c r="Z244" s="140"/>
      <c r="AA244" s="140"/>
      <c r="AB244" s="140"/>
      <c r="AC244" s="140"/>
      <c r="AD244" s="140"/>
      <c r="AE244" s="140"/>
      <c r="AF244" s="140"/>
      <c r="AG244" s="140"/>
      <c r="AH244" s="140"/>
      <c r="AI244" s="140"/>
      <c r="AJ244" s="140"/>
      <c r="AK244" s="140"/>
      <c r="AL244" s="140"/>
      <c r="AM244" s="140"/>
      <c r="AN244" s="1"/>
      <c r="AO244" s="1"/>
      <c r="AP244" s="1"/>
      <c r="AQ244" s="1"/>
      <c r="AR244" s="1"/>
      <c r="AS244" s="1"/>
      <c r="AT244" s="1"/>
      <c r="AU244" s="1"/>
      <c r="BC244" s="13"/>
      <c r="BD244" s="27"/>
      <c r="BE244" s="29"/>
      <c r="BF244" s="29"/>
      <c r="BG244" s="91"/>
      <c r="BH244" s="28"/>
      <c r="BI244" s="27"/>
      <c r="BJ244" s="29"/>
      <c r="BK244" s="29"/>
      <c r="BL244" s="29"/>
      <c r="BM244" s="29"/>
      <c r="BN244" s="29"/>
      <c r="BO244" s="27"/>
      <c r="BP244" s="27"/>
    </row>
    <row r="245" spans="1:69" s="5" customFormat="1" ht="10.199999999999999" x14ac:dyDescent="0.2">
      <c r="A245" s="25"/>
      <c r="B245" s="25"/>
      <c r="C245" s="25"/>
      <c r="D245" s="25"/>
      <c r="F245" s="25"/>
      <c r="G245" s="25"/>
      <c r="H245" s="136" t="str">
        <f>+H244</f>
        <v>Jabolka namizna</v>
      </c>
      <c r="I245" s="141" t="s">
        <v>149</v>
      </c>
      <c r="J245" s="140"/>
      <c r="K245" s="140" t="str">
        <f>+F246</f>
        <v>jabolka</v>
      </c>
      <c r="L245" s="140" t="str">
        <f>+K245</f>
        <v>jabolka</v>
      </c>
      <c r="M245" s="140"/>
      <c r="N245" s="140"/>
      <c r="O245" s="143" t="s">
        <v>139</v>
      </c>
      <c r="P245" s="143" t="s">
        <v>140</v>
      </c>
      <c r="Q245" s="143" t="s">
        <v>204</v>
      </c>
      <c r="R245" s="208" t="s">
        <v>138</v>
      </c>
      <c r="S245" s="143" t="s">
        <v>205</v>
      </c>
      <c r="T245" s="140"/>
      <c r="U245" s="140"/>
      <c r="V245" s="140"/>
      <c r="W245" s="140"/>
      <c r="X245" s="140"/>
      <c r="Y245" s="140"/>
      <c r="Z245" s="140"/>
      <c r="AA245" s="140"/>
      <c r="AB245" s="140"/>
      <c r="AC245" s="140"/>
      <c r="AD245" s="140"/>
      <c r="AE245" s="140"/>
      <c r="AF245" s="140"/>
      <c r="AG245" s="140"/>
      <c r="AH245" s="140"/>
      <c r="AI245" s="140"/>
      <c r="AJ245" s="140"/>
      <c r="AK245" s="140"/>
      <c r="AL245" s="140"/>
      <c r="AM245" s="140"/>
      <c r="AN245" s="1"/>
      <c r="AO245" s="1"/>
      <c r="AP245" s="1"/>
      <c r="AQ245" s="1"/>
      <c r="AR245" s="1"/>
      <c r="AS245" s="1"/>
      <c r="AT245" s="1"/>
      <c r="AU245" s="1"/>
      <c r="BC245" s="13"/>
      <c r="BD245" s="29"/>
      <c r="BE245" s="12"/>
      <c r="BF245" s="12"/>
      <c r="BG245" s="91"/>
      <c r="BH245" s="68"/>
      <c r="BI245" s="68"/>
      <c r="BJ245" s="68"/>
      <c r="BK245" s="12"/>
      <c r="BL245" s="12"/>
      <c r="BM245" s="12"/>
      <c r="BN245" s="12"/>
      <c r="BO245" s="29"/>
      <c r="BP245" s="29"/>
    </row>
    <row r="246" spans="1:69" s="5" customFormat="1" ht="12" customHeight="1" x14ac:dyDescent="0.25">
      <c r="A246" s="25"/>
      <c r="B246" s="25"/>
      <c r="C246" s="25"/>
      <c r="D246" s="25"/>
      <c r="F246" s="5" t="s">
        <v>31</v>
      </c>
      <c r="G246" s="25"/>
      <c r="H246" s="136" t="str">
        <f>+H245</f>
        <v>Jabolka namizna</v>
      </c>
      <c r="I246" s="149" t="s">
        <v>265</v>
      </c>
      <c r="J246" s="158"/>
      <c r="K246" s="185">
        <f>K$52</f>
        <v>2020</v>
      </c>
      <c r="L246" s="185">
        <f>+L$56</f>
        <v>2021</v>
      </c>
      <c r="M246" s="341" t="str">
        <f>"Indeks "&amp;L246&amp;"/"&amp;$K246</f>
        <v>Indeks 2021/2020</v>
      </c>
      <c r="N246" s="186"/>
      <c r="O246" s="179"/>
      <c r="P246" s="179"/>
      <c r="Q246" s="179" t="str">
        <f>+L246&amp;" "&amp;L$51</f>
        <v>2021 (prva ocena)</v>
      </c>
      <c r="R246" s="179"/>
      <c r="S246" s="179"/>
      <c r="T246" s="179"/>
      <c r="U246" s="142"/>
      <c r="V246" s="142"/>
      <c r="W246" s="179"/>
      <c r="X246" s="179"/>
      <c r="Y246" s="179" t="s">
        <v>217</v>
      </c>
      <c r="Z246" s="179"/>
      <c r="AA246" s="179"/>
      <c r="AB246" s="223"/>
      <c r="AC246" s="66"/>
      <c r="AD246" s="66"/>
      <c r="AE246" s="66"/>
      <c r="AF246" s="66"/>
      <c r="AG246" s="66"/>
      <c r="AH246" s="66"/>
      <c r="AI246" s="66"/>
      <c r="AJ246" s="66"/>
      <c r="AK246" s="66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BC246" s="103"/>
      <c r="BD246" s="1"/>
      <c r="BE246" s="66"/>
      <c r="BF246" s="66"/>
      <c r="BG246" s="91"/>
      <c r="BH246" s="34"/>
      <c r="BI246" s="67"/>
      <c r="BJ246" s="34"/>
      <c r="BK246" s="66"/>
      <c r="BL246" s="66"/>
      <c r="BM246" s="66"/>
      <c r="BN246" s="66"/>
      <c r="BO246" s="66"/>
      <c r="BP246" s="66"/>
    </row>
    <row r="247" spans="1:69" s="5" customFormat="1" ht="12" x14ac:dyDescent="0.25">
      <c r="A247" s="25"/>
      <c r="B247" s="25"/>
      <c r="C247" s="25"/>
      <c r="D247" s="25"/>
      <c r="G247" s="25"/>
      <c r="H247" s="136" t="str">
        <f>+H246</f>
        <v>Jabolka namizna</v>
      </c>
      <c r="I247" s="150" t="s">
        <v>84</v>
      </c>
      <c r="J247" s="158"/>
      <c r="K247" s="185"/>
      <c r="L247" s="330" t="str">
        <f>IF(ISBLANK(L$51),"",L$51)</f>
        <v>(prva ocena)</v>
      </c>
      <c r="M247" s="342"/>
      <c r="N247" s="186"/>
      <c r="O247" s="187" t="s">
        <v>83</v>
      </c>
      <c r="P247" s="185" t="s">
        <v>82</v>
      </c>
      <c r="Q247" s="185" t="s">
        <v>81</v>
      </c>
      <c r="R247" s="214" t="s">
        <v>80</v>
      </c>
      <c r="S247" s="185" t="s">
        <v>79</v>
      </c>
      <c r="T247" s="205"/>
      <c r="U247" s="191"/>
      <c r="V247" s="191"/>
      <c r="W247" s="188" t="str">
        <f>O247</f>
        <v>M 1</v>
      </c>
      <c r="X247" s="185" t="str">
        <f t="shared" ref="X247:AA247" si="94">P247</f>
        <v>M 2</v>
      </c>
      <c r="Y247" s="185" t="str">
        <f t="shared" si="94"/>
        <v>M 3</v>
      </c>
      <c r="Z247" s="214" t="str">
        <f t="shared" si="94"/>
        <v>M 4</v>
      </c>
      <c r="AA247" s="185" t="str">
        <f t="shared" si="94"/>
        <v>M 5</v>
      </c>
      <c r="AB247" s="223"/>
      <c r="AC247" s="66"/>
      <c r="AD247" s="66"/>
      <c r="AE247" s="66"/>
      <c r="AF247" s="66"/>
      <c r="AG247" s="66"/>
      <c r="AH247" s="66"/>
      <c r="AI247" s="66"/>
      <c r="AJ247" s="66"/>
      <c r="AK247" s="66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BC247" s="9"/>
      <c r="BD247" s="9"/>
      <c r="BE247" s="66"/>
      <c r="BF247" s="66"/>
      <c r="BG247" s="91"/>
      <c r="BH247" s="34"/>
      <c r="BI247" s="66"/>
      <c r="BJ247" s="66"/>
      <c r="BK247" s="66"/>
      <c r="BL247" s="66"/>
      <c r="BM247" s="66"/>
      <c r="BN247" s="66"/>
      <c r="BO247" s="66"/>
      <c r="BP247" s="66"/>
    </row>
    <row r="248" spans="1:69" s="5" customFormat="1" ht="10.199999999999999" x14ac:dyDescent="0.2">
      <c r="A248" s="25" t="s">
        <v>22</v>
      </c>
      <c r="B248" s="25"/>
      <c r="C248" s="25"/>
      <c r="D248" s="25"/>
      <c r="G248" s="25"/>
      <c r="H248" s="136" t="str">
        <f>+H247</f>
        <v>Jabolka namizna</v>
      </c>
      <c r="I248" s="9" t="s">
        <v>21</v>
      </c>
      <c r="J248" s="159" t="s">
        <v>20</v>
      </c>
      <c r="K248" s="160">
        <v>40000</v>
      </c>
      <c r="L248" s="160">
        <v>40000</v>
      </c>
      <c r="M248" s="160"/>
      <c r="N248" s="78"/>
      <c r="O248" s="178">
        <v>60000</v>
      </c>
      <c r="P248" s="178">
        <v>55000</v>
      </c>
      <c r="Q248" s="178">
        <v>45000</v>
      </c>
      <c r="R248" s="178">
        <v>40000</v>
      </c>
      <c r="S248" s="178">
        <v>35000</v>
      </c>
      <c r="T248" s="178"/>
      <c r="U248" s="2"/>
      <c r="V248" s="2"/>
      <c r="W248" s="62">
        <f>O248/$R248*100</f>
        <v>150</v>
      </c>
      <c r="X248" s="62">
        <f t="shared" ref="X248:AA249" si="95">P248/$R248*100</f>
        <v>137.5</v>
      </c>
      <c r="Y248" s="62">
        <f t="shared" si="95"/>
        <v>112.5</v>
      </c>
      <c r="Z248" s="62">
        <f t="shared" si="95"/>
        <v>100</v>
      </c>
      <c r="AA248" s="62">
        <f t="shared" si="95"/>
        <v>87.5</v>
      </c>
      <c r="AB248" s="62"/>
      <c r="AC248" s="82"/>
      <c r="AD248" s="82"/>
      <c r="AE248" s="82"/>
      <c r="AF248" s="82"/>
      <c r="AG248" s="82"/>
      <c r="AH248" s="82"/>
      <c r="AI248" s="82"/>
      <c r="AJ248" s="82"/>
      <c r="AK248" s="82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BC248" s="9"/>
      <c r="BD248" s="9"/>
      <c r="BE248" s="11"/>
      <c r="BF248" s="11"/>
      <c r="BG248" s="91"/>
      <c r="BH248" s="80"/>
      <c r="BI248" s="78"/>
      <c r="BJ248" s="78"/>
      <c r="BK248" s="11"/>
      <c r="BL248" s="11"/>
      <c r="BM248" s="11"/>
      <c r="BN248" s="11"/>
      <c r="BO248" s="78"/>
      <c r="BP248" s="66"/>
    </row>
    <row r="249" spans="1:69" s="5" customFormat="1" x14ac:dyDescent="0.25">
      <c r="A249" s="60" t="s">
        <v>199</v>
      </c>
      <c r="B249" s="25"/>
      <c r="C249" s="25"/>
      <c r="D249" s="25"/>
      <c r="G249" s="25"/>
      <c r="H249" s="136" t="str">
        <f t="shared" ref="H249:H281" si="96">+H248</f>
        <v>Jabolka namizna</v>
      </c>
      <c r="I249" s="9" t="s">
        <v>207</v>
      </c>
      <c r="J249" s="159" t="s">
        <v>206</v>
      </c>
      <c r="K249" s="160">
        <v>3000</v>
      </c>
      <c r="L249" s="160">
        <v>3000</v>
      </c>
      <c r="M249" s="160"/>
      <c r="N249" s="78"/>
      <c r="O249" s="178">
        <v>3000</v>
      </c>
      <c r="P249" s="178">
        <v>3000</v>
      </c>
      <c r="Q249" s="178">
        <v>3000</v>
      </c>
      <c r="R249" s="178">
        <v>3000</v>
      </c>
      <c r="S249" s="178">
        <v>3000</v>
      </c>
      <c r="T249" s="178"/>
      <c r="U249" s="1"/>
      <c r="V249" s="1"/>
      <c r="W249" s="62">
        <f>O249/$R249*100</f>
        <v>100</v>
      </c>
      <c r="X249" s="62">
        <f t="shared" si="95"/>
        <v>100</v>
      </c>
      <c r="Y249" s="62">
        <f t="shared" si="95"/>
        <v>100</v>
      </c>
      <c r="Z249" s="62">
        <f t="shared" si="95"/>
        <v>100</v>
      </c>
      <c r="AA249" s="62">
        <f t="shared" si="95"/>
        <v>100</v>
      </c>
      <c r="AB249" s="82"/>
      <c r="AC249" s="82"/>
      <c r="AD249" s="82"/>
      <c r="AE249" s="82"/>
      <c r="AF249" s="82"/>
      <c r="AG249" s="82"/>
      <c r="AH249" s="82"/>
      <c r="AI249" s="82"/>
      <c r="AJ249" s="82"/>
      <c r="AK249" s="82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BC249" s="9"/>
      <c r="BD249" s="9"/>
      <c r="BE249" s="11"/>
      <c r="BF249" s="11"/>
      <c r="BG249" s="91"/>
      <c r="BH249" s="80"/>
      <c r="BI249" s="78"/>
      <c r="BJ249" s="78"/>
      <c r="BK249" s="11"/>
      <c r="BL249" s="11"/>
      <c r="BM249" s="11"/>
      <c r="BN249" s="11"/>
      <c r="BO249" s="78"/>
      <c r="BP249" s="66"/>
    </row>
    <row r="250" spans="1:69" s="5" customFormat="1" ht="6" customHeight="1" x14ac:dyDescent="0.2">
      <c r="A250" s="25"/>
      <c r="B250" s="25"/>
      <c r="C250" s="25"/>
      <c r="D250" s="25"/>
      <c r="G250" s="25"/>
      <c r="H250" s="136" t="str">
        <f t="shared" si="96"/>
        <v>Jabolka namizna</v>
      </c>
      <c r="I250" s="9"/>
      <c r="J250" s="162"/>
      <c r="K250" s="161"/>
      <c r="L250" s="161"/>
      <c r="M250" s="161"/>
      <c r="N250" s="137"/>
      <c r="O250" s="161"/>
      <c r="P250" s="161"/>
      <c r="Q250" s="161"/>
      <c r="R250" s="161"/>
      <c r="S250" s="161"/>
      <c r="T250" s="161"/>
      <c r="U250" s="1"/>
      <c r="V250" s="1"/>
      <c r="W250" s="84"/>
      <c r="X250" s="182"/>
      <c r="Y250" s="182"/>
      <c r="Z250" s="182"/>
      <c r="AA250" s="182"/>
      <c r="AB250" s="84"/>
      <c r="AC250" s="82"/>
      <c r="AD250" s="82"/>
      <c r="AE250" s="82"/>
      <c r="AF250" s="82"/>
      <c r="AG250" s="82"/>
      <c r="AH250" s="82"/>
      <c r="AI250" s="82"/>
      <c r="AJ250" s="82"/>
      <c r="AK250" s="82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BC250" s="9"/>
      <c r="BD250" s="9"/>
      <c r="BE250" s="78"/>
      <c r="BF250" s="78"/>
      <c r="BG250" s="91"/>
      <c r="BH250" s="80"/>
      <c r="BI250" s="78"/>
      <c r="BJ250" s="78"/>
      <c r="BK250" s="78"/>
      <c r="BL250" s="78"/>
      <c r="BM250" s="78"/>
      <c r="BN250" s="78"/>
      <c r="BO250" s="78"/>
      <c r="BP250" s="66"/>
    </row>
    <row r="251" spans="1:69" s="5" customFormat="1" ht="6" customHeight="1" x14ac:dyDescent="0.2">
      <c r="A251" s="25"/>
      <c r="B251" s="25"/>
      <c r="C251" s="25"/>
      <c r="D251" s="25"/>
      <c r="G251" s="25"/>
      <c r="H251" s="136" t="str">
        <f t="shared" si="96"/>
        <v>Jabolka namizna</v>
      </c>
      <c r="I251" s="9"/>
      <c r="J251" s="159"/>
      <c r="K251" s="163"/>
      <c r="L251" s="163"/>
      <c r="M251" s="164"/>
      <c r="N251" s="8"/>
      <c r="O251" s="177"/>
      <c r="P251" s="177"/>
      <c r="Q251" s="177"/>
      <c r="R251" s="177"/>
      <c r="S251" s="177"/>
      <c r="T251" s="177"/>
      <c r="U251" s="1"/>
      <c r="V251" s="1"/>
      <c r="W251" s="84"/>
      <c r="X251" s="182"/>
      <c r="Y251" s="182"/>
      <c r="Z251" s="182"/>
      <c r="AA251" s="182"/>
      <c r="AB251" s="84"/>
      <c r="AC251" s="26"/>
      <c r="AD251" s="26"/>
      <c r="AE251" s="26"/>
      <c r="AF251" s="26"/>
      <c r="AG251" s="26"/>
      <c r="AH251" s="26"/>
      <c r="AI251" s="26"/>
      <c r="AJ251" s="26"/>
      <c r="AK251" s="26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BC251" s="9"/>
      <c r="BD251" s="9"/>
      <c r="BE251" s="87"/>
      <c r="BF251" s="87"/>
      <c r="BG251" s="91"/>
      <c r="BH251" s="88"/>
      <c r="BI251" s="66"/>
      <c r="BJ251" s="66"/>
      <c r="BK251" s="87"/>
      <c r="BL251" s="87"/>
      <c r="BM251" s="87"/>
      <c r="BN251" s="87"/>
      <c r="BO251" s="87"/>
      <c r="BP251" s="31"/>
    </row>
    <row r="252" spans="1:69" s="5" customFormat="1" ht="11.25" customHeight="1" x14ac:dyDescent="0.2">
      <c r="A252" s="25"/>
      <c r="B252" s="25"/>
      <c r="C252" s="25"/>
      <c r="D252" s="25"/>
      <c r="G252" s="25"/>
      <c r="H252" s="136" t="str">
        <f t="shared" si="96"/>
        <v>Jabolka namizna</v>
      </c>
      <c r="I252" s="151" t="str">
        <f>+I$62</f>
        <v>IZVLEČEK ANALITIČNE KALKULACIJE</v>
      </c>
      <c r="J252" s="165"/>
      <c r="K252" s="166"/>
      <c r="L252" s="166"/>
      <c r="M252" s="167"/>
      <c r="N252" s="1"/>
      <c r="O252" s="166"/>
      <c r="P252" s="166"/>
      <c r="Q252" s="166"/>
      <c r="R252" s="166"/>
      <c r="S252" s="166"/>
      <c r="T252" s="218"/>
      <c r="U252" s="1"/>
      <c r="V252" s="1"/>
      <c r="W252" s="154"/>
      <c r="X252" s="154"/>
      <c r="Y252" s="154"/>
      <c r="Z252" s="154"/>
      <c r="AA252" s="154"/>
      <c r="AB252" s="84"/>
      <c r="AC252" s="76"/>
      <c r="AD252" s="76"/>
      <c r="AE252" s="76"/>
      <c r="AF252" s="76"/>
      <c r="AG252" s="76"/>
      <c r="AH252" s="76"/>
      <c r="AI252" s="76"/>
      <c r="AJ252" s="76"/>
      <c r="AK252" s="76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BC252" s="9"/>
      <c r="BD252" s="1"/>
      <c r="BE252" s="77"/>
      <c r="BF252" s="77"/>
      <c r="BG252" s="91"/>
      <c r="BH252" s="24"/>
      <c r="BI252" s="1"/>
      <c r="BJ252" s="1"/>
      <c r="BK252" s="77"/>
      <c r="BL252" s="77"/>
      <c r="BM252" s="77"/>
      <c r="BN252" s="77"/>
      <c r="BO252" s="77"/>
      <c r="BP252" s="76"/>
    </row>
    <row r="253" spans="1:69" s="5" customFormat="1" ht="11.25" customHeight="1" x14ac:dyDescent="0.2">
      <c r="A253" s="25"/>
      <c r="B253" s="25"/>
      <c r="C253" s="25"/>
      <c r="D253" s="25"/>
      <c r="G253" s="25"/>
      <c r="H253" s="136" t="str">
        <f t="shared" si="96"/>
        <v>Jabolka namizna</v>
      </c>
      <c r="I253" s="151" t="str">
        <f>+I$63</f>
        <v>Stroški blaga in storitev</v>
      </c>
      <c r="J253" s="168" t="str">
        <f>+J$63</f>
        <v>EUR/ha</v>
      </c>
      <c r="K253" s="169">
        <f>+K263-K261-K260</f>
        <v>8950.699836458185</v>
      </c>
      <c r="L253" s="169">
        <f>+L263-L261-L260</f>
        <v>9262.6086290622807</v>
      </c>
      <c r="M253" s="170">
        <f>L253/K253*100</f>
        <v>103.48474195652972</v>
      </c>
      <c r="N253" s="8"/>
      <c r="O253" s="169">
        <f>+O263-O261-O260</f>
        <v>11596.192469669419</v>
      </c>
      <c r="P253" s="169">
        <f t="shared" ref="P253:S253" si="97">+P263-P261-P260</f>
        <v>11068.914978267634</v>
      </c>
      <c r="Q253" s="169">
        <f t="shared" si="97"/>
        <v>9985.7373704640668</v>
      </c>
      <c r="R253" s="169">
        <f t="shared" si="97"/>
        <v>9262.6086290622807</v>
      </c>
      <c r="S253" s="169">
        <f t="shared" si="97"/>
        <v>8354.0481927193287</v>
      </c>
      <c r="T253" s="163"/>
      <c r="U253" s="1"/>
      <c r="V253" s="9"/>
      <c r="W253" s="155">
        <f t="shared" ref="W253:AA280" si="98">O253/$R253*100</f>
        <v>125.1935921516246</v>
      </c>
      <c r="X253" s="155">
        <f t="shared" si="98"/>
        <v>119.50105441719627</v>
      </c>
      <c r="Y253" s="155">
        <f t="shared" si="98"/>
        <v>107.80696637805578</v>
      </c>
      <c r="Z253" s="155">
        <f t="shared" si="98"/>
        <v>100</v>
      </c>
      <c r="AA253" s="155">
        <f t="shared" si="98"/>
        <v>90.191095481544352</v>
      </c>
      <c r="AB253" s="84"/>
      <c r="AC253" s="8"/>
      <c r="AD253" s="8"/>
      <c r="AE253" s="8"/>
      <c r="AF253" s="8"/>
      <c r="AG253" s="8"/>
      <c r="AH253" s="8"/>
      <c r="AI253" s="8"/>
      <c r="AJ253" s="8"/>
      <c r="AK253" s="8"/>
      <c r="AL253" s="9"/>
      <c r="AM253" s="9"/>
      <c r="AN253" s="1"/>
      <c r="AO253" s="1"/>
      <c r="AP253" s="1"/>
      <c r="AQ253" s="1"/>
      <c r="AR253" s="1"/>
      <c r="AS253" s="1"/>
      <c r="AT253" s="1"/>
      <c r="AU253" s="1"/>
      <c r="AY253" s="38"/>
      <c r="AZ253" s="38"/>
      <c r="BC253" s="9"/>
      <c r="BD253" s="9"/>
      <c r="BE253" s="18"/>
      <c r="BF253" s="18"/>
      <c r="BG253" s="91"/>
      <c r="BH253" s="18"/>
      <c r="BI253" s="18"/>
      <c r="BJ253" s="18"/>
      <c r="BK253" s="18"/>
      <c r="BL253" s="18"/>
      <c r="BM253" s="18"/>
      <c r="BN253" s="18"/>
      <c r="BO253" s="18"/>
      <c r="BP253" s="8"/>
    </row>
    <row r="254" spans="1:69" s="5" customFormat="1" ht="11.25" customHeight="1" x14ac:dyDescent="0.2">
      <c r="A254" s="25" t="s">
        <v>19</v>
      </c>
      <c r="B254" s="25"/>
      <c r="C254" s="25"/>
      <c r="D254" s="25"/>
      <c r="G254" s="25"/>
      <c r="H254" s="136" t="str">
        <f t="shared" si="96"/>
        <v>Jabolka namizna</v>
      </c>
      <c r="I254" s="152" t="str">
        <f>+I$64</f>
        <v xml:space="preserve">  Od tega: seme</v>
      </c>
      <c r="J254" s="165" t="str">
        <f>+J$64</f>
        <v>EUR/ha</v>
      </c>
      <c r="K254" s="171">
        <v>0</v>
      </c>
      <c r="L254" s="171">
        <v>0</v>
      </c>
      <c r="M254" s="172"/>
      <c r="N254" s="8"/>
      <c r="O254" s="171">
        <v>0</v>
      </c>
      <c r="P254" s="171">
        <v>0</v>
      </c>
      <c r="Q254" s="171">
        <v>0</v>
      </c>
      <c r="R254" s="171">
        <v>0</v>
      </c>
      <c r="S254" s="171">
        <v>0</v>
      </c>
      <c r="T254" s="177"/>
      <c r="U254" s="1"/>
      <c r="V254" s="1"/>
      <c r="W254" s="156"/>
      <c r="X254" s="156"/>
      <c r="Y254" s="156"/>
      <c r="Z254" s="156"/>
      <c r="AA254" s="156"/>
      <c r="AB254" s="84"/>
      <c r="AC254" s="4"/>
      <c r="AD254" s="4"/>
      <c r="AE254" s="4"/>
      <c r="AF254" s="4"/>
      <c r="AG254" s="4"/>
      <c r="AH254" s="4"/>
      <c r="AI254" s="4"/>
      <c r="AJ254" s="4"/>
      <c r="AK254" s="4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Y254" s="38"/>
      <c r="AZ254" s="38"/>
      <c r="BC254" s="1"/>
      <c r="BD254" s="1"/>
      <c r="BE254" s="7"/>
      <c r="BF254" s="7"/>
      <c r="BG254" s="91"/>
      <c r="BH254" s="70"/>
      <c r="BI254" s="7"/>
      <c r="BJ254" s="4"/>
      <c r="BK254" s="7"/>
      <c r="BL254" s="7"/>
      <c r="BM254" s="7"/>
      <c r="BN254" s="7"/>
      <c r="BO254" s="7"/>
      <c r="BP254" s="4"/>
    </row>
    <row r="255" spans="1:69" s="5" customFormat="1" ht="11.25" customHeight="1" x14ac:dyDescent="0.2">
      <c r="A255" s="25" t="s">
        <v>18</v>
      </c>
      <c r="B255" s="25" t="s">
        <v>17</v>
      </c>
      <c r="C255" s="25"/>
      <c r="D255" s="25"/>
      <c r="G255" s="25"/>
      <c r="H255" s="136" t="str">
        <f t="shared" si="96"/>
        <v>Jabolka namizna</v>
      </c>
      <c r="I255" s="152" t="str">
        <f>+I$65</f>
        <v xml:space="preserve">                 gnojila</v>
      </c>
      <c r="J255" s="165" t="str">
        <f>+J$65</f>
        <v>EUR/ha</v>
      </c>
      <c r="K255" s="171">
        <v>164.22267224798364</v>
      </c>
      <c r="L255" s="171">
        <v>166.60037084619984</v>
      </c>
      <c r="M255" s="172">
        <f t="shared" ref="M255:M263" si="99">L255/K255*100</f>
        <v>101.44785038854182</v>
      </c>
      <c r="N255" s="8"/>
      <c r="O255" s="171">
        <v>224.17824607534072</v>
      </c>
      <c r="P255" s="171">
        <v>209.7837772680555</v>
      </c>
      <c r="Q255" s="171">
        <v>180.99483965348506</v>
      </c>
      <c r="R255" s="171">
        <v>166.60037084619984</v>
      </c>
      <c r="S255" s="171">
        <v>152.20590203891462</v>
      </c>
      <c r="T255" s="177"/>
      <c r="U255" s="1"/>
      <c r="V255" s="1"/>
      <c r="W255" s="156">
        <f t="shared" si="98"/>
        <v>134.56047242673603</v>
      </c>
      <c r="X255" s="156">
        <f t="shared" si="98"/>
        <v>125.92035432005204</v>
      </c>
      <c r="Y255" s="156">
        <f t="shared" si="98"/>
        <v>108.64011810668401</v>
      </c>
      <c r="Z255" s="156">
        <f t="shared" si="98"/>
        <v>100</v>
      </c>
      <c r="AA255" s="156">
        <f t="shared" si="98"/>
        <v>91.359881893315986</v>
      </c>
      <c r="AB255" s="84"/>
      <c r="AC255" s="4"/>
      <c r="AD255" s="4"/>
      <c r="AE255" s="4"/>
      <c r="AF255" s="4"/>
      <c r="AG255" s="4"/>
      <c r="AH255" s="4"/>
      <c r="AI255" s="4"/>
      <c r="AJ255" s="4"/>
      <c r="AK255" s="4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Y255" s="38"/>
      <c r="AZ255" s="38"/>
      <c r="BC255" s="1"/>
      <c r="BD255" s="1"/>
      <c r="BE255" s="7"/>
      <c r="BF255" s="7"/>
      <c r="BG255" s="91"/>
      <c r="BH255" s="70"/>
      <c r="BI255" s="7"/>
      <c r="BJ255" s="4"/>
      <c r="BK255" s="7"/>
      <c r="BL255" s="7"/>
      <c r="BM255" s="7"/>
      <c r="BN255" s="7"/>
      <c r="BO255" s="7"/>
      <c r="BP255" s="4"/>
    </row>
    <row r="256" spans="1:69" s="5" customFormat="1" ht="11.25" customHeight="1" x14ac:dyDescent="0.2">
      <c r="A256" s="25" t="s">
        <v>16</v>
      </c>
      <c r="B256" s="25"/>
      <c r="C256" s="25"/>
      <c r="D256" s="25"/>
      <c r="G256" s="25"/>
      <c r="H256" s="136" t="str">
        <f t="shared" si="96"/>
        <v>Jabolka namizna</v>
      </c>
      <c r="I256" s="152" t="str">
        <f>+I$66</f>
        <v xml:space="preserve">                 sredstva za varstvo</v>
      </c>
      <c r="J256" s="165" t="str">
        <f>+J$66</f>
        <v>EUR/ha</v>
      </c>
      <c r="K256" s="171">
        <v>1368.6793789361702</v>
      </c>
      <c r="L256" s="171">
        <v>1427.24163</v>
      </c>
      <c r="M256" s="172">
        <f t="shared" si="99"/>
        <v>104.27874138860398</v>
      </c>
      <c r="N256" s="8"/>
      <c r="O256" s="171">
        <v>1427.24163</v>
      </c>
      <c r="P256" s="171">
        <v>1427.24163</v>
      </c>
      <c r="Q256" s="171">
        <v>1427.24163</v>
      </c>
      <c r="R256" s="171">
        <v>1427.24163</v>
      </c>
      <c r="S256" s="171">
        <v>1326.0219300000001</v>
      </c>
      <c r="T256" s="177"/>
      <c r="U256" s="1"/>
      <c r="V256" s="1"/>
      <c r="W256" s="156">
        <f t="shared" si="98"/>
        <v>100</v>
      </c>
      <c r="X256" s="156">
        <f t="shared" si="98"/>
        <v>100</v>
      </c>
      <c r="Y256" s="156">
        <f t="shared" si="98"/>
        <v>100</v>
      </c>
      <c r="Z256" s="156">
        <f t="shared" si="98"/>
        <v>100</v>
      </c>
      <c r="AA256" s="156">
        <f t="shared" si="98"/>
        <v>92.908019365999024</v>
      </c>
      <c r="AB256" s="84"/>
      <c r="AC256" s="4"/>
      <c r="AD256" s="4"/>
      <c r="AE256" s="4"/>
      <c r="AF256" s="4"/>
      <c r="AG256" s="4"/>
      <c r="AH256" s="4"/>
      <c r="AI256" s="4"/>
      <c r="AJ256" s="4"/>
      <c r="AK256" s="4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Y256" s="38"/>
      <c r="AZ256" s="38"/>
      <c r="BC256" s="1"/>
      <c r="BD256" s="1"/>
      <c r="BE256" s="7"/>
      <c r="BF256" s="7"/>
      <c r="BG256" s="91"/>
      <c r="BH256" s="70"/>
      <c r="BI256" s="7"/>
      <c r="BJ256" s="4"/>
      <c r="BK256" s="7"/>
      <c r="BL256" s="7"/>
      <c r="BM256" s="7"/>
      <c r="BN256" s="7"/>
      <c r="BO256" s="7"/>
      <c r="BP256" s="4"/>
    </row>
    <row r="257" spans="1:68" s="5" customFormat="1" ht="11.25" customHeight="1" x14ac:dyDescent="0.2">
      <c r="A257" s="25" t="s">
        <v>15</v>
      </c>
      <c r="B257" s="25" t="s">
        <v>14</v>
      </c>
      <c r="C257" s="25" t="s">
        <v>13</v>
      </c>
      <c r="D257" s="25"/>
      <c r="G257" s="25"/>
      <c r="H257" s="136" t="str">
        <f t="shared" si="96"/>
        <v>Jabolka namizna</v>
      </c>
      <c r="I257" s="152" t="str">
        <f>+I$67</f>
        <v xml:space="preserve">                 najete storitve</v>
      </c>
      <c r="J257" s="165" t="str">
        <f>+J$67</f>
        <v>EUR/ha</v>
      </c>
      <c r="K257" s="171">
        <v>2108.1965517241379</v>
      </c>
      <c r="L257" s="171">
        <v>2295.7103448275861</v>
      </c>
      <c r="M257" s="172">
        <f t="shared" si="99"/>
        <v>108.89451189691468</v>
      </c>
      <c r="N257" s="8"/>
      <c r="O257" s="171">
        <v>3296.4045977011492</v>
      </c>
      <c r="P257" s="171">
        <v>3046.2310344827583</v>
      </c>
      <c r="Q257" s="171">
        <v>2545.8839080459766</v>
      </c>
      <c r="R257" s="171">
        <v>2295.7103448275861</v>
      </c>
      <c r="S257" s="171">
        <v>2045.5367816091953</v>
      </c>
      <c r="T257" s="177"/>
      <c r="U257" s="1"/>
      <c r="V257" s="1"/>
      <c r="W257" s="156">
        <f t="shared" si="98"/>
        <v>143.58974358974359</v>
      </c>
      <c r="X257" s="156">
        <f t="shared" si="98"/>
        <v>132.69230769230768</v>
      </c>
      <c r="Y257" s="156">
        <f t="shared" si="98"/>
        <v>110.89743589743588</v>
      </c>
      <c r="Z257" s="156">
        <f t="shared" si="98"/>
        <v>100</v>
      </c>
      <c r="AA257" s="156">
        <f t="shared" si="98"/>
        <v>89.102564102564102</v>
      </c>
      <c r="AB257" s="84"/>
      <c r="AC257" s="4"/>
      <c r="AD257" s="4"/>
      <c r="AE257" s="4"/>
      <c r="AF257" s="4"/>
      <c r="AG257" s="4"/>
      <c r="AH257" s="4"/>
      <c r="AI257" s="4"/>
      <c r="AJ257" s="4"/>
      <c r="AK257" s="4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Y257" s="38"/>
      <c r="AZ257" s="38"/>
      <c r="BC257" s="1"/>
      <c r="BD257" s="1"/>
      <c r="BE257" s="7"/>
      <c r="BF257" s="7"/>
      <c r="BG257" s="91"/>
      <c r="BH257" s="70"/>
      <c r="BI257" s="7"/>
      <c r="BJ257" s="4"/>
      <c r="BK257" s="7"/>
      <c r="BL257" s="7"/>
      <c r="BM257" s="7"/>
      <c r="BN257" s="7"/>
      <c r="BO257" s="7"/>
      <c r="BP257" s="4"/>
    </row>
    <row r="258" spans="1:68" s="5" customFormat="1" ht="11.25" customHeight="1" x14ac:dyDescent="0.2">
      <c r="A258" s="25" t="s">
        <v>12</v>
      </c>
      <c r="B258" s="120" t="s">
        <v>147</v>
      </c>
      <c r="C258" s="25"/>
      <c r="D258" s="25"/>
      <c r="G258" s="25"/>
      <c r="H258" s="136" t="str">
        <f t="shared" si="96"/>
        <v>Jabolka namizna</v>
      </c>
      <c r="I258" s="152" t="str">
        <f>+I$68</f>
        <v xml:space="preserve">                 zavarovanje</v>
      </c>
      <c r="J258" s="165" t="str">
        <f>+J$68</f>
        <v>EUR/ha</v>
      </c>
      <c r="K258" s="171">
        <v>1752.2532843199999</v>
      </c>
      <c r="L258" s="171">
        <v>1578.1632843200002</v>
      </c>
      <c r="M258" s="172">
        <f t="shared" si="99"/>
        <v>90.064792484177929</v>
      </c>
      <c r="N258" s="8"/>
      <c r="O258" s="171">
        <v>1807.6699264800002</v>
      </c>
      <c r="P258" s="171">
        <v>1806.2507659400001</v>
      </c>
      <c r="Q258" s="171">
        <v>1775.4336948600001</v>
      </c>
      <c r="R258" s="171">
        <v>1578.1632843200002</v>
      </c>
      <c r="S258" s="171">
        <v>1380.8928737800002</v>
      </c>
      <c r="T258" s="177"/>
      <c r="U258" s="1"/>
      <c r="V258" s="1"/>
      <c r="W258" s="156">
        <f t="shared" si="98"/>
        <v>114.54264235141484</v>
      </c>
      <c r="X258" s="156">
        <f t="shared" si="98"/>
        <v>114.45271752841964</v>
      </c>
      <c r="Y258" s="156">
        <f t="shared" si="98"/>
        <v>112.49999999999997</v>
      </c>
      <c r="Z258" s="156">
        <f t="shared" si="98"/>
        <v>100</v>
      </c>
      <c r="AA258" s="156">
        <f t="shared" si="98"/>
        <v>87.5</v>
      </c>
      <c r="AB258" s="84"/>
      <c r="AC258" s="4"/>
      <c r="AD258" s="4"/>
      <c r="AE258" s="4"/>
      <c r="AF258" s="4"/>
      <c r="AG258" s="4"/>
      <c r="AH258" s="4"/>
      <c r="AI258" s="4"/>
      <c r="AJ258" s="4"/>
      <c r="AK258" s="4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Y258" s="38"/>
      <c r="AZ258" s="38"/>
      <c r="BC258" s="1"/>
      <c r="BD258" s="1"/>
      <c r="BE258" s="7"/>
      <c r="BF258" s="7"/>
      <c r="BG258" s="91"/>
      <c r="BH258" s="70"/>
      <c r="BI258" s="7"/>
      <c r="BJ258" s="4"/>
      <c r="BK258" s="7"/>
      <c r="BL258" s="7"/>
      <c r="BM258" s="7"/>
      <c r="BN258" s="7"/>
      <c r="BO258" s="7"/>
      <c r="BP258" s="4"/>
    </row>
    <row r="259" spans="1:68" s="5" customFormat="1" ht="11.25" customHeight="1" x14ac:dyDescent="0.2">
      <c r="A259" s="25" t="s">
        <v>11</v>
      </c>
      <c r="B259" s="25"/>
      <c r="C259" s="25"/>
      <c r="D259" s="25"/>
      <c r="G259" s="25"/>
      <c r="H259" s="136" t="str">
        <f t="shared" si="96"/>
        <v>Jabolka namizna</v>
      </c>
      <c r="I259" s="152" t="str">
        <f>+I$69</f>
        <v xml:space="preserve">                 domače strojne storitve</v>
      </c>
      <c r="J259" s="165" t="str">
        <f>+J$69</f>
        <v>EUR/ha</v>
      </c>
      <c r="K259" s="171">
        <v>1203.5560516276062</v>
      </c>
      <c r="L259" s="171">
        <v>1353.0670788056268</v>
      </c>
      <c r="M259" s="172">
        <f t="shared" si="99"/>
        <v>112.42243990014693</v>
      </c>
      <c r="N259" s="8"/>
      <c r="O259" s="171">
        <v>1414.2073054214895</v>
      </c>
      <c r="P259" s="171">
        <v>1398.9222487675243</v>
      </c>
      <c r="Q259" s="171">
        <v>1368.3521354595928</v>
      </c>
      <c r="R259" s="171">
        <v>1353.0670788056268</v>
      </c>
      <c r="S259" s="171">
        <v>1256.4488350419649</v>
      </c>
      <c r="T259" s="177"/>
      <c r="U259" s="1"/>
      <c r="V259" s="1"/>
      <c r="W259" s="156">
        <f t="shared" si="98"/>
        <v>104.51863973143386</v>
      </c>
      <c r="X259" s="156">
        <f t="shared" si="98"/>
        <v>103.38897979857545</v>
      </c>
      <c r="Y259" s="156">
        <f t="shared" si="98"/>
        <v>101.1296599328585</v>
      </c>
      <c r="Z259" s="156">
        <f t="shared" si="98"/>
        <v>100</v>
      </c>
      <c r="AA259" s="156">
        <f t="shared" si="98"/>
        <v>92.85931604743881</v>
      </c>
      <c r="AB259" s="84"/>
      <c r="AC259" s="4"/>
      <c r="AD259" s="4"/>
      <c r="AE259" s="4"/>
      <c r="AF259" s="4"/>
      <c r="AG259" s="4"/>
      <c r="AH259" s="4"/>
      <c r="AI259" s="4"/>
      <c r="AJ259" s="4"/>
      <c r="AK259" s="4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Y259" s="38"/>
      <c r="AZ259" s="38"/>
      <c r="BC259" s="1"/>
      <c r="BD259" s="1"/>
      <c r="BE259" s="7"/>
      <c r="BF259" s="7"/>
      <c r="BG259" s="91"/>
      <c r="BH259" s="70"/>
      <c r="BI259" s="7"/>
      <c r="BJ259" s="4"/>
      <c r="BK259" s="7"/>
      <c r="BL259" s="7"/>
      <c r="BM259" s="7"/>
      <c r="BN259" s="7"/>
      <c r="BO259" s="7"/>
      <c r="BP259" s="4"/>
    </row>
    <row r="260" spans="1:68" s="5" customFormat="1" ht="11.25" customHeight="1" x14ac:dyDescent="0.2">
      <c r="A260" s="25" t="s">
        <v>10</v>
      </c>
      <c r="B260" s="25"/>
      <c r="C260" s="25"/>
      <c r="D260" s="25"/>
      <c r="G260" s="25"/>
      <c r="H260" s="136" t="str">
        <f t="shared" si="96"/>
        <v>Jabolka namizna</v>
      </c>
      <c r="I260" s="152" t="str">
        <f>+I$70</f>
        <v>Amortizacija</v>
      </c>
      <c r="J260" s="165" t="str">
        <f>+J$70</f>
        <v>EUR/ha</v>
      </c>
      <c r="K260" s="171">
        <v>2690.6659607843135</v>
      </c>
      <c r="L260" s="171">
        <v>2823.0619213657305</v>
      </c>
      <c r="M260" s="172">
        <f t="shared" si="99"/>
        <v>104.9205647416309</v>
      </c>
      <c r="N260" s="8"/>
      <c r="O260" s="171">
        <v>3060.7772546990636</v>
      </c>
      <c r="P260" s="171">
        <v>3001.3484213657302</v>
      </c>
      <c r="Q260" s="171">
        <v>2882.4907546990639</v>
      </c>
      <c r="R260" s="171">
        <v>2823.0619213657305</v>
      </c>
      <c r="S260" s="171">
        <v>2763.6330880323972</v>
      </c>
      <c r="T260" s="177"/>
      <c r="U260" s="1"/>
      <c r="V260" s="1"/>
      <c r="W260" s="156">
        <f t="shared" si="98"/>
        <v>108.42047889684021</v>
      </c>
      <c r="X260" s="156">
        <f t="shared" si="98"/>
        <v>106.31535917263015</v>
      </c>
      <c r="Y260" s="156">
        <f t="shared" si="98"/>
        <v>102.10511972421006</v>
      </c>
      <c r="Z260" s="156">
        <f t="shared" si="98"/>
        <v>100</v>
      </c>
      <c r="AA260" s="156">
        <f t="shared" si="98"/>
        <v>97.894880275789944</v>
      </c>
      <c r="AB260" s="84"/>
      <c r="AC260" s="4"/>
      <c r="AD260" s="4"/>
      <c r="AE260" s="4"/>
      <c r="AF260" s="4"/>
      <c r="AG260" s="4"/>
      <c r="AH260" s="4"/>
      <c r="AI260" s="4"/>
      <c r="AJ260" s="4"/>
      <c r="AK260" s="4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Y260" s="38"/>
      <c r="AZ260" s="38"/>
      <c r="BC260" s="1"/>
      <c r="BD260" s="1"/>
      <c r="BE260" s="7"/>
      <c r="BF260" s="7"/>
      <c r="BG260" s="91"/>
      <c r="BH260" s="70"/>
      <c r="BI260" s="7"/>
      <c r="BJ260" s="4"/>
      <c r="BK260" s="7"/>
      <c r="BL260" s="7"/>
      <c r="BM260" s="7"/>
      <c r="BN260" s="7"/>
      <c r="BO260" s="7"/>
      <c r="BP260" s="4"/>
    </row>
    <row r="261" spans="1:68" s="5" customFormat="1" ht="11.25" customHeight="1" x14ac:dyDescent="0.2">
      <c r="A261" s="25" t="s">
        <v>7</v>
      </c>
      <c r="B261" s="25" t="s">
        <v>9</v>
      </c>
      <c r="C261" s="25" t="s">
        <v>8</v>
      </c>
      <c r="D261" s="25"/>
      <c r="G261" s="25"/>
      <c r="H261" s="136" t="str">
        <f t="shared" si="96"/>
        <v>Jabolka namizna</v>
      </c>
      <c r="I261" s="151" t="str">
        <f>+I$71</f>
        <v>Stroški domačega dela in kapitala</v>
      </c>
      <c r="J261" s="168" t="str">
        <f>+J$71</f>
        <v>EUR/ha</v>
      </c>
      <c r="K261" s="169">
        <v>6594.7791836828792</v>
      </c>
      <c r="L261" s="169">
        <v>6944.5931170536942</v>
      </c>
      <c r="M261" s="170">
        <f t="shared" si="99"/>
        <v>105.30440707152624</v>
      </c>
      <c r="N261" s="8"/>
      <c r="O261" s="169">
        <v>7996.7500117363334</v>
      </c>
      <c r="P261" s="169">
        <v>7734.6216537372275</v>
      </c>
      <c r="Q261" s="169">
        <v>7209.9074114825944</v>
      </c>
      <c r="R261" s="169">
        <v>6944.5931170536942</v>
      </c>
      <c r="S261" s="169">
        <v>6618.3730523239374</v>
      </c>
      <c r="T261" s="163"/>
      <c r="U261" s="1"/>
      <c r="V261" s="9"/>
      <c r="W261" s="155">
        <f t="shared" si="98"/>
        <v>115.15073492353179</v>
      </c>
      <c r="X261" s="155">
        <f t="shared" si="98"/>
        <v>111.37616737751672</v>
      </c>
      <c r="Y261" s="155">
        <f t="shared" si="98"/>
        <v>103.82044404844071</v>
      </c>
      <c r="Z261" s="155">
        <f t="shared" si="98"/>
        <v>100</v>
      </c>
      <c r="AA261" s="155">
        <f t="shared" si="98"/>
        <v>95.302531635314025</v>
      </c>
      <c r="AB261" s="84"/>
      <c r="AC261" s="8"/>
      <c r="AD261" s="8"/>
      <c r="AE261" s="8"/>
      <c r="AF261" s="8"/>
      <c r="AG261" s="8"/>
      <c r="AH261" s="8"/>
      <c r="AI261" s="8"/>
      <c r="AJ261" s="8"/>
      <c r="AK261" s="8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Y261" s="38"/>
      <c r="AZ261" s="38"/>
      <c r="BC261" s="9"/>
      <c r="BD261" s="9"/>
      <c r="BE261" s="6"/>
      <c r="BF261" s="6"/>
      <c r="BG261" s="91"/>
      <c r="BH261" s="71"/>
      <c r="BI261" s="6"/>
      <c r="BJ261" s="8"/>
      <c r="BK261" s="6"/>
      <c r="BL261" s="6"/>
      <c r="BM261" s="6"/>
      <c r="BN261" s="6"/>
      <c r="BO261" s="6"/>
      <c r="BP261" s="8"/>
    </row>
    <row r="262" spans="1:68" s="5" customFormat="1" ht="11.25" customHeight="1" x14ac:dyDescent="0.2">
      <c r="A262" s="25" t="s">
        <v>7</v>
      </c>
      <c r="B262" s="25"/>
      <c r="C262" s="25"/>
      <c r="D262" s="25"/>
      <c r="G262" s="25"/>
      <c r="H262" s="136" t="str">
        <f t="shared" si="96"/>
        <v>Jabolka namizna</v>
      </c>
      <c r="I262" s="152" t="str">
        <f>+I$72</f>
        <v xml:space="preserve">  Od tega: domače delo neto</v>
      </c>
      <c r="J262" s="165" t="str">
        <f>+J$72</f>
        <v>EUR/ha</v>
      </c>
      <c r="K262" s="171">
        <v>3234.9795049163185</v>
      </c>
      <c r="L262" s="171">
        <v>3399.9871468954607</v>
      </c>
      <c r="M262" s="172">
        <f t="shared" si="99"/>
        <v>105.10073222190044</v>
      </c>
      <c r="N262" s="8"/>
      <c r="O262" s="171">
        <v>3955.345057127618</v>
      </c>
      <c r="P262" s="171">
        <v>3816.5055795695789</v>
      </c>
      <c r="Q262" s="171">
        <v>3538.8266244534998</v>
      </c>
      <c r="R262" s="171">
        <v>3399.9871468954607</v>
      </c>
      <c r="S262" s="171">
        <v>3231.3488957373806</v>
      </c>
      <c r="T262" s="177"/>
      <c r="U262" s="1"/>
      <c r="V262" s="1"/>
      <c r="W262" s="156">
        <f t="shared" si="98"/>
        <v>116.33411793157089</v>
      </c>
      <c r="X262" s="156">
        <f t="shared" si="98"/>
        <v>112.25058844867819</v>
      </c>
      <c r="Y262" s="156">
        <f t="shared" si="98"/>
        <v>104.08352948289273</v>
      </c>
      <c r="Z262" s="156">
        <f t="shared" si="98"/>
        <v>100</v>
      </c>
      <c r="AA262" s="156">
        <f t="shared" si="98"/>
        <v>95.0400326862393</v>
      </c>
      <c r="AB262" s="84"/>
      <c r="AC262" s="4"/>
      <c r="AD262" s="4"/>
      <c r="AE262" s="4"/>
      <c r="AF262" s="4"/>
      <c r="AG262" s="4"/>
      <c r="AH262" s="4"/>
      <c r="AI262" s="4"/>
      <c r="AJ262" s="4"/>
      <c r="AK262" s="4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Y262" s="38"/>
      <c r="AZ262" s="38"/>
      <c r="BC262" s="1"/>
      <c r="BD262" s="1"/>
      <c r="BE262" s="7"/>
      <c r="BF262" s="7"/>
      <c r="BG262" s="91"/>
      <c r="BH262" s="70"/>
      <c r="BI262" s="7"/>
      <c r="BJ262" s="4"/>
      <c r="BK262" s="7"/>
      <c r="BL262" s="7"/>
      <c r="BM262" s="7"/>
      <c r="BN262" s="7"/>
      <c r="BO262" s="7"/>
      <c r="BP262" s="4"/>
    </row>
    <row r="263" spans="1:68" s="5" customFormat="1" ht="11.25" customHeight="1" x14ac:dyDescent="0.2">
      <c r="A263" s="25" t="s">
        <v>6</v>
      </c>
      <c r="B263" s="25"/>
      <c r="C263" s="25"/>
      <c r="D263" s="25"/>
      <c r="G263" s="25"/>
      <c r="H263" s="136" t="str">
        <f t="shared" si="96"/>
        <v>Jabolka namizna</v>
      </c>
      <c r="I263" s="151" t="str">
        <f>+I$73</f>
        <v>Stroški skupaj</v>
      </c>
      <c r="J263" s="168" t="str">
        <f>+J$73</f>
        <v>EUR/ha</v>
      </c>
      <c r="K263" s="169">
        <v>18236.144980925379</v>
      </c>
      <c r="L263" s="169">
        <v>19030.263667481704</v>
      </c>
      <c r="M263" s="170">
        <f t="shared" si="99"/>
        <v>104.35464122152437</v>
      </c>
      <c r="N263" s="8"/>
      <c r="O263" s="169">
        <v>22653.719736104817</v>
      </c>
      <c r="P263" s="169">
        <v>21804.885053370592</v>
      </c>
      <c r="Q263" s="169">
        <v>20078.135536645725</v>
      </c>
      <c r="R263" s="169">
        <v>19030.263667481704</v>
      </c>
      <c r="S263" s="169">
        <v>17736.054333075663</v>
      </c>
      <c r="T263" s="163"/>
      <c r="U263" s="1"/>
      <c r="V263" s="9"/>
      <c r="W263" s="155">
        <f t="shared" si="98"/>
        <v>119.04049324768293</v>
      </c>
      <c r="X263" s="155">
        <f t="shared" si="98"/>
        <v>114.58004699446214</v>
      </c>
      <c r="Y263" s="155">
        <f t="shared" si="98"/>
        <v>105.50634445992775</v>
      </c>
      <c r="Z263" s="155">
        <f t="shared" si="98"/>
        <v>100</v>
      </c>
      <c r="AA263" s="155">
        <f t="shared" si="98"/>
        <v>93.19920439874123</v>
      </c>
      <c r="AB263" s="84"/>
      <c r="AC263" s="8"/>
      <c r="AD263" s="8"/>
      <c r="AE263" s="8"/>
      <c r="AF263" s="8"/>
      <c r="AG263" s="8"/>
      <c r="AH263" s="8"/>
      <c r="AI263" s="8"/>
      <c r="AJ263" s="8"/>
      <c r="AK263" s="8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Y263" s="38"/>
      <c r="AZ263" s="38"/>
      <c r="BC263" s="9"/>
      <c r="BD263" s="9"/>
      <c r="BE263" s="6"/>
      <c r="BF263" s="6"/>
      <c r="BG263" s="91"/>
      <c r="BH263" s="71"/>
      <c r="BI263" s="6"/>
      <c r="BJ263" s="8"/>
      <c r="BK263" s="6"/>
      <c r="BL263" s="6"/>
      <c r="BM263" s="6"/>
      <c r="BN263" s="6"/>
      <c r="BO263" s="6"/>
      <c r="BP263" s="8"/>
    </row>
    <row r="264" spans="1:68" s="5" customFormat="1" ht="11.25" customHeight="1" x14ac:dyDescent="0.25">
      <c r="A264" s="25" t="s">
        <v>5</v>
      </c>
      <c r="B264" s="25"/>
      <c r="C264" s="25"/>
      <c r="D264" s="25"/>
      <c r="G264" s="25"/>
      <c r="H264" s="136" t="str">
        <f t="shared" si="96"/>
        <v>Jabolka namizna</v>
      </c>
      <c r="I264" s="152" t="str">
        <f>+I$74</f>
        <v>Stranski pridelki</v>
      </c>
      <c r="J264" s="165" t="str">
        <f>+J$74</f>
        <v>EUR/ha</v>
      </c>
      <c r="K264" s="171">
        <v>0</v>
      </c>
      <c r="L264" s="171">
        <v>0</v>
      </c>
      <c r="M264" s="172"/>
      <c r="N264" s="8"/>
      <c r="O264" s="171">
        <v>0</v>
      </c>
      <c r="P264" s="171">
        <v>0</v>
      </c>
      <c r="Q264" s="171">
        <v>0</v>
      </c>
      <c r="R264" s="171">
        <v>0</v>
      </c>
      <c r="S264" s="171">
        <v>0</v>
      </c>
      <c r="T264" s="177"/>
      <c r="U264" s="1"/>
      <c r="V264" s="1"/>
      <c r="W264" s="156"/>
      <c r="X264" s="156"/>
      <c r="Y264" s="156"/>
      <c r="Z264" s="156"/>
      <c r="AA264" s="156"/>
      <c r="AB264" s="84"/>
      <c r="AC264" s="4"/>
      <c r="AD264" s="4"/>
      <c r="AE264" s="339" t="s">
        <v>222</v>
      </c>
      <c r="AF264" s="340"/>
      <c r="AG264" s="340"/>
      <c r="AH264" s="340"/>
      <c r="AI264" s="340"/>
      <c r="AJ264" s="340"/>
      <c r="AK264" s="340"/>
      <c r="AL264" s="340"/>
      <c r="AM264" s="340"/>
      <c r="AN264" s="1"/>
      <c r="AO264" s="1"/>
      <c r="AP264" s="1"/>
      <c r="AQ264" s="1"/>
      <c r="AR264" s="1"/>
      <c r="AS264" s="1"/>
      <c r="AT264" s="1"/>
      <c r="AU264" s="1"/>
      <c r="AY264" s="38"/>
      <c r="AZ264" s="38"/>
      <c r="BC264" s="1"/>
      <c r="BD264" s="1"/>
      <c r="BE264" s="7"/>
      <c r="BF264" s="7"/>
      <c r="BG264" s="91"/>
      <c r="BH264" s="70"/>
      <c r="BI264" s="7"/>
      <c r="BJ264" s="4"/>
      <c r="BK264" s="7"/>
      <c r="BL264" s="7"/>
      <c r="BM264" s="7"/>
      <c r="BN264" s="7"/>
      <c r="BO264" s="7"/>
      <c r="BP264" s="4"/>
    </row>
    <row r="265" spans="1:68" s="5" customFormat="1" ht="11.25" customHeight="1" x14ac:dyDescent="0.25">
      <c r="A265" s="25"/>
      <c r="B265" s="25"/>
      <c r="C265" s="25"/>
      <c r="D265" s="25"/>
      <c r="G265" s="25"/>
      <c r="H265" s="136" t="str">
        <f t="shared" si="96"/>
        <v>Jabolka namizna</v>
      </c>
      <c r="I265" s="152" t="str">
        <f>+I$75</f>
        <v>Stroški glavnega pridelka</v>
      </c>
      <c r="J265" s="165" t="str">
        <f>+J$75</f>
        <v>EUR/ha</v>
      </c>
      <c r="K265" s="171">
        <f>+K263-K264</f>
        <v>18236.144980925379</v>
      </c>
      <c r="L265" s="171">
        <f>+L263-L264</f>
        <v>19030.263667481704</v>
      </c>
      <c r="M265" s="172">
        <f t="shared" ref="M265:M270" si="100">L265/K265*100</f>
        <v>104.35464122152437</v>
      </c>
      <c r="N265" s="8"/>
      <c r="O265" s="171">
        <f>+O263-O264</f>
        <v>22653.719736104817</v>
      </c>
      <c r="P265" s="171">
        <f t="shared" ref="P265:S265" si="101">+P263-P264</f>
        <v>21804.885053370592</v>
      </c>
      <c r="Q265" s="171">
        <f t="shared" si="101"/>
        <v>20078.135536645725</v>
      </c>
      <c r="R265" s="171">
        <f t="shared" si="101"/>
        <v>19030.263667481704</v>
      </c>
      <c r="S265" s="171">
        <f t="shared" si="101"/>
        <v>17736.054333075663</v>
      </c>
      <c r="T265" s="177"/>
      <c r="U265" s="1"/>
      <c r="V265" s="1"/>
      <c r="W265" s="156">
        <f t="shared" si="98"/>
        <v>119.04049324768293</v>
      </c>
      <c r="X265" s="156">
        <f t="shared" si="98"/>
        <v>114.58004699446214</v>
      </c>
      <c r="Y265" s="156">
        <f t="shared" si="98"/>
        <v>105.50634445992775</v>
      </c>
      <c r="Z265" s="156">
        <f t="shared" si="98"/>
        <v>100</v>
      </c>
      <c r="AA265" s="156">
        <f t="shared" si="98"/>
        <v>93.19920439874123</v>
      </c>
      <c r="AB265" s="84"/>
      <c r="AC265" s="4"/>
      <c r="AD265" s="4"/>
      <c r="AE265" s="192" t="str">
        <f>AF$10&amp;""&amp;$L$56&amp;", upoštevani stroški zmanjšani za subvencije"</f>
        <v>prva ocena letine 2021, upoštevani stroški zmanjšani za subvencije</v>
      </c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Y265" s="38"/>
      <c r="AZ265" s="38"/>
      <c r="BC265" s="1"/>
      <c r="BD265" s="1"/>
      <c r="BE265" s="17"/>
      <c r="BF265" s="17"/>
      <c r="BG265" s="91"/>
      <c r="BH265" s="17"/>
      <c r="BI265" s="17"/>
      <c r="BJ265" s="17"/>
      <c r="BK265" s="17"/>
      <c r="BL265" s="17"/>
      <c r="BM265" s="17"/>
      <c r="BN265" s="17"/>
      <c r="BO265" s="17"/>
      <c r="BP265" s="4"/>
    </row>
    <row r="266" spans="1:68" s="5" customFormat="1" ht="11.25" customHeight="1" x14ac:dyDescent="0.2">
      <c r="A266" s="25" t="s">
        <v>4</v>
      </c>
      <c r="B266" s="25" t="s">
        <v>3</v>
      </c>
      <c r="C266" s="21" t="s">
        <v>2</v>
      </c>
      <c r="D266" s="21" t="s">
        <v>1</v>
      </c>
      <c r="G266" s="25"/>
      <c r="H266" s="136" t="str">
        <f t="shared" si="96"/>
        <v>Jabolka namizna</v>
      </c>
      <c r="I266" s="152" t="str">
        <f>+I$76</f>
        <v>Subvencije</v>
      </c>
      <c r="J266" s="165" t="str">
        <f>+J$76</f>
        <v>EUR/ha</v>
      </c>
      <c r="K266" s="171">
        <v>372.65162999999995</v>
      </c>
      <c r="L266" s="171">
        <v>367.43199779999998</v>
      </c>
      <c r="M266" s="172">
        <f t="shared" si="100"/>
        <v>98.599326615047957</v>
      </c>
      <c r="N266" s="8"/>
      <c r="O266" s="171">
        <v>367.43199779999998</v>
      </c>
      <c r="P266" s="171">
        <v>367.43199779999998</v>
      </c>
      <c r="Q266" s="171">
        <v>367.43199779999998</v>
      </c>
      <c r="R266" s="171">
        <v>367.43199779999998</v>
      </c>
      <c r="S266" s="171">
        <v>361.95314490277735</v>
      </c>
      <c r="T266" s="177"/>
      <c r="U266" s="1"/>
      <c r="V266" s="1"/>
      <c r="W266" s="156">
        <f t="shared" si="98"/>
        <v>100</v>
      </c>
      <c r="X266" s="156">
        <f t="shared" si="98"/>
        <v>100</v>
      </c>
      <c r="Y266" s="156">
        <f t="shared" si="98"/>
        <v>100</v>
      </c>
      <c r="Z266" s="156">
        <f t="shared" si="98"/>
        <v>100</v>
      </c>
      <c r="AA266" s="156">
        <f t="shared" si="98"/>
        <v>98.508879757335436</v>
      </c>
      <c r="AB266" s="84"/>
      <c r="AC266" s="4"/>
      <c r="AD266" s="4"/>
      <c r="AE266" s="4"/>
      <c r="AF266" s="4"/>
      <c r="AG266" s="4"/>
      <c r="AH266" s="4"/>
      <c r="AI266" s="4"/>
      <c r="AJ266" s="4"/>
      <c r="AK266" s="4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Y266" s="38"/>
      <c r="AZ266" s="38"/>
      <c r="BC266" s="1"/>
      <c r="BD266" s="1"/>
      <c r="BE266" s="7"/>
      <c r="BF266" s="7"/>
      <c r="BG266" s="91"/>
      <c r="BH266" s="70"/>
      <c r="BI266" s="6"/>
      <c r="BJ266" s="4"/>
      <c r="BK266" s="7"/>
      <c r="BL266" s="7"/>
      <c r="BM266" s="7"/>
      <c r="BN266" s="7"/>
      <c r="BO266" s="7"/>
      <c r="BP266" s="4"/>
    </row>
    <row r="267" spans="1:68" s="5" customFormat="1" ht="11.25" customHeight="1" x14ac:dyDescent="0.2">
      <c r="A267" s="25"/>
      <c r="B267" s="25"/>
      <c r="C267" s="25"/>
      <c r="D267" s="25"/>
      <c r="G267" s="25"/>
      <c r="H267" s="136" t="str">
        <f t="shared" si="96"/>
        <v>Jabolka namizna</v>
      </c>
      <c r="I267" s="151" t="str">
        <f>+I$77</f>
        <v>Stroški, zmanjšani za subvencije</v>
      </c>
      <c r="J267" s="168" t="str">
        <f>+J$77</f>
        <v>EUR/ha</v>
      </c>
      <c r="K267" s="169">
        <f>+K265-K266</f>
        <v>17863.493350925379</v>
      </c>
      <c r="L267" s="169">
        <f>+L265-L266</f>
        <v>18662.831669681706</v>
      </c>
      <c r="M267" s="170">
        <f t="shared" si="100"/>
        <v>104.47470325682362</v>
      </c>
      <c r="N267" s="8"/>
      <c r="O267" s="169">
        <f>+O265-O266</f>
        <v>22286.287738304818</v>
      </c>
      <c r="P267" s="169">
        <f t="shared" ref="P267:S267" si="102">+P265-P266</f>
        <v>21437.453055570593</v>
      </c>
      <c r="Q267" s="169">
        <f t="shared" si="102"/>
        <v>19710.703538845726</v>
      </c>
      <c r="R267" s="169">
        <f t="shared" si="102"/>
        <v>18662.831669681706</v>
      </c>
      <c r="S267" s="169">
        <f t="shared" si="102"/>
        <v>17374.101188172885</v>
      </c>
      <c r="T267" s="163"/>
      <c r="U267" s="9"/>
      <c r="V267" s="9"/>
      <c r="W267" s="155">
        <f t="shared" si="98"/>
        <v>119.41536060955593</v>
      </c>
      <c r="X267" s="155">
        <f t="shared" si="98"/>
        <v>114.86709752837956</v>
      </c>
      <c r="Y267" s="155">
        <f t="shared" si="98"/>
        <v>105.61475282910213</v>
      </c>
      <c r="Z267" s="155">
        <f t="shared" si="98"/>
        <v>100</v>
      </c>
      <c r="AA267" s="155">
        <f t="shared" si="98"/>
        <v>93.094668031527078</v>
      </c>
      <c r="AB267" s="84"/>
      <c r="AC267" s="4"/>
      <c r="AD267" s="4"/>
      <c r="AE267" s="4"/>
      <c r="AF267" s="4"/>
      <c r="AG267" s="4"/>
      <c r="AH267" s="4"/>
      <c r="AI267" s="4"/>
      <c r="AJ267" s="4"/>
      <c r="AK267" s="4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Y267" s="38"/>
      <c r="AZ267" s="38"/>
      <c r="BC267" s="1"/>
      <c r="BD267" s="1"/>
      <c r="BE267" s="8"/>
      <c r="BF267" s="8"/>
      <c r="BG267" s="91"/>
      <c r="BH267" s="71"/>
      <c r="BI267" s="8"/>
      <c r="BJ267" s="8"/>
      <c r="BK267" s="8"/>
      <c r="BL267" s="8"/>
      <c r="BM267" s="8"/>
      <c r="BN267" s="8"/>
      <c r="BO267" s="8"/>
      <c r="BP267" s="4"/>
    </row>
    <row r="268" spans="1:68" s="5" customFormat="1" ht="11.25" customHeight="1" x14ac:dyDescent="0.2">
      <c r="A268" s="25"/>
      <c r="B268" s="25"/>
      <c r="C268" s="25"/>
      <c r="D268" s="25"/>
      <c r="G268" s="25"/>
      <c r="H268" s="136" t="str">
        <f t="shared" si="96"/>
        <v>Jabolka namizna</v>
      </c>
      <c r="I268" s="153" t="str">
        <f>+I$78</f>
        <v>Stroški, zmanjšani za subvencije/kg</v>
      </c>
      <c r="J268" s="173" t="str">
        <f>+J$78</f>
        <v>EUR/kg</v>
      </c>
      <c r="K268" s="174">
        <f>+K267/K248</f>
        <v>0.44658733377313448</v>
      </c>
      <c r="L268" s="329">
        <f>+L267/L248</f>
        <v>0.46657079174204263</v>
      </c>
      <c r="M268" s="170">
        <f t="shared" si="100"/>
        <v>104.4747032568236</v>
      </c>
      <c r="N268" s="8"/>
      <c r="O268" s="174">
        <f>+O267/O248</f>
        <v>0.37143812897174699</v>
      </c>
      <c r="P268" s="174">
        <f t="shared" ref="P268:S268" si="103">+P267/P248</f>
        <v>0.38977187373764716</v>
      </c>
      <c r="Q268" s="174">
        <f t="shared" si="103"/>
        <v>0.43801563419657169</v>
      </c>
      <c r="R268" s="329">
        <f t="shared" si="103"/>
        <v>0.46657079174204263</v>
      </c>
      <c r="S268" s="174">
        <f t="shared" si="103"/>
        <v>0.49640289109065383</v>
      </c>
      <c r="T268" s="221"/>
      <c r="U268" s="1"/>
      <c r="V268" s="16"/>
      <c r="W268" s="157">
        <f t="shared" si="98"/>
        <v>79.610240406370636</v>
      </c>
      <c r="X268" s="157">
        <f t="shared" si="98"/>
        <v>83.539707293366959</v>
      </c>
      <c r="Y268" s="157">
        <f t="shared" si="98"/>
        <v>93.879780292535216</v>
      </c>
      <c r="Z268" s="157">
        <f t="shared" si="98"/>
        <v>100</v>
      </c>
      <c r="AA268" s="157">
        <f t="shared" si="98"/>
        <v>106.39390632174522</v>
      </c>
      <c r="AB268" s="84"/>
      <c r="AC268" s="4"/>
      <c r="AD268" s="4"/>
      <c r="AE268" s="4"/>
      <c r="AF268" s="4"/>
      <c r="AG268" s="4"/>
      <c r="AH268" s="4"/>
      <c r="AI268" s="4"/>
      <c r="AJ268" s="4"/>
      <c r="AK268" s="4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Y268" s="38"/>
      <c r="AZ268" s="38"/>
      <c r="BC268" s="16"/>
      <c r="BD268" s="16"/>
      <c r="BE268" s="15"/>
      <c r="BF268" s="15"/>
      <c r="BG268" s="91"/>
      <c r="BH268" s="75"/>
      <c r="BI268" s="14"/>
      <c r="BJ268" s="15"/>
      <c r="BK268" s="15"/>
      <c r="BL268" s="15"/>
      <c r="BM268" s="15"/>
      <c r="BN268" s="15"/>
      <c r="BO268" s="15"/>
      <c r="BP268" s="32"/>
    </row>
    <row r="269" spans="1:68" s="5" customFormat="1" ht="11.25" customHeight="1" x14ac:dyDescent="0.2">
      <c r="A269" s="25" t="s">
        <v>30</v>
      </c>
      <c r="B269" s="25"/>
      <c r="C269" s="25"/>
      <c r="D269" s="25"/>
      <c r="G269" s="25"/>
      <c r="H269" s="136" t="str">
        <f t="shared" si="96"/>
        <v>Jabolka namizna</v>
      </c>
      <c r="I269" s="16" t="str">
        <f>+I$79</f>
        <v>Prodajna cena</v>
      </c>
      <c r="J269" s="175" t="str">
        <f>+J$79</f>
        <v>EUR/kg</v>
      </c>
      <c r="K269" s="176">
        <v>0.42899999999999999</v>
      </c>
      <c r="L269" s="176">
        <v>0.64600000000000013</v>
      </c>
      <c r="M269" s="164">
        <f t="shared" si="100"/>
        <v>150.58275058275061</v>
      </c>
      <c r="N269" s="8"/>
      <c r="O269" s="176">
        <v>0.64600000000000013</v>
      </c>
      <c r="P269" s="176">
        <v>0.64600000000000013</v>
      </c>
      <c r="Q269" s="176">
        <v>0.64600000000000013</v>
      </c>
      <c r="R269" s="176">
        <v>0.64600000000000013</v>
      </c>
      <c r="S269" s="176">
        <v>0.64600000000000013</v>
      </c>
      <c r="T269" s="176"/>
      <c r="U269" s="1"/>
      <c r="V269" s="16"/>
      <c r="W269" s="73">
        <f t="shared" si="98"/>
        <v>100</v>
      </c>
      <c r="X269" s="73">
        <f t="shared" si="98"/>
        <v>100</v>
      </c>
      <c r="Y269" s="73">
        <f t="shared" si="98"/>
        <v>100</v>
      </c>
      <c r="Z269" s="73">
        <f t="shared" si="98"/>
        <v>100</v>
      </c>
      <c r="AA269" s="73">
        <f t="shared" si="98"/>
        <v>100</v>
      </c>
      <c r="AB269" s="84"/>
      <c r="AC269" s="4"/>
      <c r="AD269" s="4"/>
      <c r="AE269" s="4"/>
      <c r="AF269" s="4"/>
      <c r="AG269" s="4"/>
      <c r="AH269" s="4"/>
      <c r="AI269" s="4"/>
      <c r="AJ269" s="4"/>
      <c r="AK269" s="4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Y269" s="38"/>
      <c r="AZ269" s="38"/>
      <c r="BC269" s="16"/>
      <c r="BD269" s="16"/>
      <c r="BE269" s="74"/>
      <c r="BF269" s="74"/>
      <c r="BG269" s="91"/>
      <c r="BH269" s="75"/>
      <c r="BI269" s="6"/>
      <c r="BJ269" s="15"/>
      <c r="BK269" s="74"/>
      <c r="BL269" s="74"/>
      <c r="BM269" s="74"/>
      <c r="BN269" s="74"/>
      <c r="BO269" s="74"/>
      <c r="BP269" s="32"/>
    </row>
    <row r="270" spans="1:68" s="5" customFormat="1" ht="11.25" customHeight="1" x14ac:dyDescent="0.2">
      <c r="A270" s="25"/>
      <c r="B270" s="25"/>
      <c r="C270" s="25"/>
      <c r="D270" s="25"/>
      <c r="G270" s="25"/>
      <c r="H270" s="136" t="str">
        <f t="shared" si="96"/>
        <v>Jabolka namizna</v>
      </c>
      <c r="I270" s="9" t="str">
        <f>+I$80</f>
        <v>Vrednost proizvodnje skupaj</v>
      </c>
      <c r="J270" s="159" t="str">
        <f>+J$80</f>
        <v>EUR/ha</v>
      </c>
      <c r="K270" s="163">
        <f>+K269*K248+K264+K266</f>
        <v>17532.65163</v>
      </c>
      <c r="L270" s="163">
        <f>+L269*L248+L264+L266</f>
        <v>26207.431997800002</v>
      </c>
      <c r="M270" s="164">
        <f t="shared" si="100"/>
        <v>149.47785737644296</v>
      </c>
      <c r="N270" s="8"/>
      <c r="O270" s="163">
        <f>+O269*O248+O264+O266</f>
        <v>39127.431997800006</v>
      </c>
      <c r="P270" s="163">
        <f t="shared" ref="P270:S270" si="104">+P269*P248+P264+P266</f>
        <v>35897.431997800006</v>
      </c>
      <c r="Q270" s="163">
        <f t="shared" si="104"/>
        <v>29437.431997800006</v>
      </c>
      <c r="R270" s="163">
        <f t="shared" si="104"/>
        <v>26207.431997800002</v>
      </c>
      <c r="S270" s="163">
        <f t="shared" si="104"/>
        <v>22971.953144902782</v>
      </c>
      <c r="T270" s="163"/>
      <c r="U270" s="1"/>
      <c r="V270" s="9"/>
      <c r="W270" s="8">
        <f t="shared" si="98"/>
        <v>149.29899274787616</v>
      </c>
      <c r="X270" s="8">
        <f t="shared" si="98"/>
        <v>136.97424456090715</v>
      </c>
      <c r="Y270" s="8">
        <f t="shared" si="98"/>
        <v>112.32474818696905</v>
      </c>
      <c r="Z270" s="8">
        <f t="shared" si="98"/>
        <v>100</v>
      </c>
      <c r="AA270" s="8">
        <f t="shared" si="98"/>
        <v>87.654346090953041</v>
      </c>
      <c r="AB270" s="84"/>
      <c r="AC270" s="8"/>
      <c r="AD270" s="8"/>
      <c r="AE270" s="8"/>
      <c r="AF270" s="8"/>
      <c r="AG270" s="8"/>
      <c r="AH270" s="8"/>
      <c r="AI270" s="8"/>
      <c r="AJ270" s="8"/>
      <c r="AK270" s="8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Y270" s="38"/>
      <c r="AZ270" s="38"/>
      <c r="BC270" s="9"/>
      <c r="BD270" s="9"/>
      <c r="BE270" s="8"/>
      <c r="BF270" s="8"/>
      <c r="BG270" s="91"/>
      <c r="BH270" s="71"/>
      <c r="BI270" s="8"/>
      <c r="BJ270" s="8"/>
      <c r="BK270" s="8"/>
      <c r="BL270" s="8"/>
      <c r="BM270" s="8"/>
      <c r="BN270" s="8"/>
      <c r="BO270" s="8"/>
      <c r="BP270" s="8"/>
    </row>
    <row r="271" spans="1:68" s="5" customFormat="1" ht="11.25" customHeight="1" x14ac:dyDescent="0.2">
      <c r="A271" s="25"/>
      <c r="B271" s="25"/>
      <c r="C271" s="25"/>
      <c r="D271" s="25"/>
      <c r="G271" s="25"/>
      <c r="H271" s="136" t="str">
        <f t="shared" si="96"/>
        <v>Jabolka namizna</v>
      </c>
      <c r="I271" s="1" t="str">
        <f>+I$81</f>
        <v xml:space="preserve">  Od tega interna realizacija</v>
      </c>
      <c r="J271" s="162" t="str">
        <f>+J$81</f>
        <v>EUR/ha</v>
      </c>
      <c r="K271" s="177">
        <f>+K270-K273</f>
        <v>0</v>
      </c>
      <c r="L271" s="177">
        <f>+L270-L273</f>
        <v>0</v>
      </c>
      <c r="M271" s="164"/>
      <c r="N271" s="8"/>
      <c r="O271" s="177">
        <f>+O270-O273</f>
        <v>0</v>
      </c>
      <c r="P271" s="177">
        <f t="shared" ref="P271:S271" si="105">+P270-P273</f>
        <v>0</v>
      </c>
      <c r="Q271" s="177">
        <f t="shared" si="105"/>
        <v>0</v>
      </c>
      <c r="R271" s="177">
        <f t="shared" si="105"/>
        <v>0</v>
      </c>
      <c r="S271" s="177">
        <f t="shared" si="105"/>
        <v>0</v>
      </c>
      <c r="T271" s="177"/>
      <c r="U271" s="1"/>
      <c r="V271" s="1"/>
      <c r="W271" s="4"/>
      <c r="X271" s="4"/>
      <c r="Y271" s="4"/>
      <c r="Z271" s="4"/>
      <c r="AA271" s="4"/>
      <c r="AB271" s="84"/>
      <c r="AC271" s="4"/>
      <c r="AD271" s="4"/>
      <c r="AE271" s="4"/>
      <c r="AF271" s="4"/>
      <c r="AG271" s="4"/>
      <c r="AH271" s="4"/>
      <c r="AI271" s="4"/>
      <c r="AJ271" s="4"/>
      <c r="AK271" s="4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Y271" s="38"/>
      <c r="AZ271" s="38"/>
      <c r="BC271" s="1"/>
      <c r="BD271" s="1"/>
      <c r="BE271" s="4"/>
      <c r="BF271" s="4"/>
      <c r="BG271" s="91"/>
      <c r="BH271" s="70"/>
      <c r="BI271" s="4"/>
      <c r="BJ271" s="8"/>
      <c r="BK271" s="4"/>
      <c r="BL271" s="4"/>
      <c r="BM271" s="4"/>
      <c r="BN271" s="4"/>
      <c r="BO271" s="4"/>
      <c r="BP271" s="4"/>
    </row>
    <row r="272" spans="1:68" s="5" customFormat="1" ht="11.25" customHeight="1" x14ac:dyDescent="0.2">
      <c r="A272" s="25"/>
      <c r="B272" s="25"/>
      <c r="C272" s="25"/>
      <c r="D272" s="25"/>
      <c r="G272" s="25"/>
      <c r="H272" s="136" t="str">
        <f t="shared" si="96"/>
        <v>Jabolka namizna</v>
      </c>
      <c r="I272" s="151" t="str">
        <f>+I$82</f>
        <v>OBRAČUN DOHODKA</v>
      </c>
      <c r="J272" s="165"/>
      <c r="K272" s="171"/>
      <c r="L272" s="171"/>
      <c r="M272" s="170"/>
      <c r="N272" s="8"/>
      <c r="O272" s="171"/>
      <c r="P272" s="171"/>
      <c r="Q272" s="171"/>
      <c r="R272" s="171"/>
      <c r="S272" s="171"/>
      <c r="T272" s="177"/>
      <c r="U272" s="1"/>
      <c r="V272" s="1"/>
      <c r="W272" s="156"/>
      <c r="X272" s="156"/>
      <c r="Y272" s="156"/>
      <c r="Z272" s="156"/>
      <c r="AA272" s="156"/>
      <c r="AB272" s="84"/>
      <c r="AC272" s="4"/>
      <c r="AD272" s="4"/>
      <c r="AE272" s="4"/>
      <c r="AF272" s="4"/>
      <c r="AG272" s="4"/>
      <c r="AH272" s="4"/>
      <c r="AI272" s="4"/>
      <c r="AJ272" s="4"/>
      <c r="AK272" s="4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Y272" s="38"/>
      <c r="AZ272" s="38"/>
      <c r="BC272" s="9"/>
      <c r="BD272" s="1"/>
      <c r="BE272" s="4"/>
      <c r="BF272" s="4"/>
      <c r="BG272" s="91"/>
      <c r="BH272" s="70"/>
      <c r="BI272" s="4"/>
      <c r="BJ272" s="8"/>
      <c r="BK272" s="4"/>
      <c r="BL272" s="4"/>
      <c r="BM272" s="4"/>
      <c r="BN272" s="4"/>
      <c r="BO272" s="4"/>
      <c r="BP272" s="4"/>
    </row>
    <row r="273" spans="1:68" s="5" customFormat="1" ht="11.25" customHeight="1" x14ac:dyDescent="0.2">
      <c r="A273" s="25" t="s">
        <v>29</v>
      </c>
      <c r="B273" s="25"/>
      <c r="C273" s="25"/>
      <c r="D273" s="25"/>
      <c r="G273" s="25"/>
      <c r="H273" s="136" t="str">
        <f t="shared" si="96"/>
        <v>Jabolka namizna</v>
      </c>
      <c r="I273" s="152" t="str">
        <f>+I$83</f>
        <v>Vrednost finalne proizvodnje skupaj</v>
      </c>
      <c r="J273" s="165" t="str">
        <f>+J$83</f>
        <v>EUR/ha</v>
      </c>
      <c r="K273" s="171">
        <v>17532.65163</v>
      </c>
      <c r="L273" s="171">
        <v>26207.431997800002</v>
      </c>
      <c r="M273" s="172">
        <f t="shared" ref="M273:M280" si="106">L273/K273*100</f>
        <v>149.47785737644296</v>
      </c>
      <c r="N273" s="8"/>
      <c r="O273" s="171">
        <v>39127.431997800006</v>
      </c>
      <c r="P273" s="171">
        <v>35897.431997800006</v>
      </c>
      <c r="Q273" s="171">
        <v>29437.431997800006</v>
      </c>
      <c r="R273" s="171">
        <v>26207.431997800002</v>
      </c>
      <c r="S273" s="171">
        <v>22971.953144902782</v>
      </c>
      <c r="T273" s="177"/>
      <c r="U273" s="1"/>
      <c r="V273" s="1"/>
      <c r="W273" s="156">
        <f t="shared" si="98"/>
        <v>149.29899274787616</v>
      </c>
      <c r="X273" s="156">
        <f t="shared" si="98"/>
        <v>136.97424456090715</v>
      </c>
      <c r="Y273" s="156">
        <f t="shared" si="98"/>
        <v>112.32474818696905</v>
      </c>
      <c r="Z273" s="156">
        <f t="shared" si="98"/>
        <v>100</v>
      </c>
      <c r="AA273" s="156">
        <f t="shared" si="98"/>
        <v>87.654346090953041</v>
      </c>
      <c r="AB273" s="84"/>
      <c r="AC273" s="4"/>
      <c r="AD273" s="4"/>
      <c r="AE273" s="4"/>
      <c r="AF273" s="4"/>
      <c r="AG273" s="4"/>
      <c r="AH273" s="4"/>
      <c r="AI273" s="4"/>
      <c r="AJ273" s="4"/>
      <c r="AK273" s="4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Y273" s="38"/>
      <c r="AZ273" s="38"/>
      <c r="BC273" s="1"/>
      <c r="BD273" s="1"/>
      <c r="BE273" s="41"/>
      <c r="BF273" s="41"/>
      <c r="BG273" s="91"/>
      <c r="BH273" s="70"/>
      <c r="BI273" s="41"/>
      <c r="BJ273" s="4"/>
      <c r="BK273" s="41"/>
      <c r="BL273" s="41"/>
      <c r="BM273" s="41"/>
      <c r="BN273" s="41"/>
      <c r="BO273" s="41"/>
      <c r="BP273" s="4"/>
    </row>
    <row r="274" spans="1:68" s="5" customFormat="1" ht="11.25" customHeight="1" x14ac:dyDescent="0.2">
      <c r="A274" s="25" t="s">
        <v>28</v>
      </c>
      <c r="B274" s="25"/>
      <c r="C274" s="25"/>
      <c r="D274" s="25"/>
      <c r="G274" s="25"/>
      <c r="H274" s="136" t="str">
        <f t="shared" si="96"/>
        <v>Jabolka namizna</v>
      </c>
      <c r="I274" s="152" t="str">
        <f>+I$84</f>
        <v>Stroški zmanjšani za interno realizacijo</v>
      </c>
      <c r="J274" s="165" t="str">
        <f>+J$84</f>
        <v>EUR/ha</v>
      </c>
      <c r="K274" s="171">
        <v>18236.144980925375</v>
      </c>
      <c r="L274" s="171">
        <v>19030.263667481704</v>
      </c>
      <c r="M274" s="172">
        <f t="shared" si="106"/>
        <v>104.3546412215244</v>
      </c>
      <c r="N274" s="8"/>
      <c r="O274" s="171">
        <v>22653.71973610482</v>
      </c>
      <c r="P274" s="171">
        <v>21804.885053370592</v>
      </c>
      <c r="Q274" s="171">
        <v>20078.135536645721</v>
      </c>
      <c r="R274" s="171">
        <v>19030.263667481704</v>
      </c>
      <c r="S274" s="171">
        <v>17736.054333075659</v>
      </c>
      <c r="T274" s="177"/>
      <c r="U274" s="1"/>
      <c r="V274" s="1"/>
      <c r="W274" s="156">
        <f t="shared" si="98"/>
        <v>119.04049324768296</v>
      </c>
      <c r="X274" s="156">
        <f t="shared" si="98"/>
        <v>114.58004699446214</v>
      </c>
      <c r="Y274" s="156">
        <f t="shared" si="98"/>
        <v>105.50634445992773</v>
      </c>
      <c r="Z274" s="156">
        <f t="shared" si="98"/>
        <v>100</v>
      </c>
      <c r="AA274" s="156">
        <f t="shared" si="98"/>
        <v>93.199204398741216</v>
      </c>
      <c r="AB274" s="84"/>
      <c r="AC274" s="4"/>
      <c r="AD274" s="4"/>
      <c r="AE274" s="4"/>
      <c r="AF274" s="4"/>
      <c r="AG274" s="4"/>
      <c r="AH274" s="4"/>
      <c r="AI274" s="4"/>
      <c r="AJ274" s="4"/>
      <c r="AK274" s="4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Y274" s="38"/>
      <c r="AZ274" s="38"/>
      <c r="BC274" s="1"/>
      <c r="BD274" s="1"/>
      <c r="BE274" s="7"/>
      <c r="BF274" s="7"/>
      <c r="BG274" s="91"/>
      <c r="BH274" s="70"/>
      <c r="BI274" s="7"/>
      <c r="BJ274" s="4"/>
      <c r="BK274" s="7"/>
      <c r="BL274" s="7"/>
      <c r="BM274" s="7"/>
      <c r="BN274" s="7"/>
      <c r="BO274" s="7"/>
      <c r="BP274" s="4"/>
    </row>
    <row r="275" spans="1:68" s="5" customFormat="1" ht="11.25" customHeight="1" x14ac:dyDescent="0.2">
      <c r="A275" s="25" t="s">
        <v>27</v>
      </c>
      <c r="B275" s="25"/>
      <c r="C275" s="25"/>
      <c r="D275" s="25"/>
      <c r="G275" s="25"/>
      <c r="H275" s="136" t="str">
        <f t="shared" si="96"/>
        <v>Jabolka namizna</v>
      </c>
      <c r="I275" s="152" t="str">
        <f>+I$85</f>
        <v xml:space="preserve">  Stroški kupljenega blaga in storitev</v>
      </c>
      <c r="J275" s="165" t="str">
        <f>+J$85</f>
        <v>EUR/ha</v>
      </c>
      <c r="K275" s="171">
        <v>8136.7075266059719</v>
      </c>
      <c r="L275" s="171">
        <v>8354.5773943868626</v>
      </c>
      <c r="M275" s="172">
        <f t="shared" si="106"/>
        <v>102.67761704680282</v>
      </c>
      <c r="N275" s="8"/>
      <c r="O275" s="171">
        <v>10549.343384138669</v>
      </c>
      <c r="P275" s="171">
        <v>10056.770355450715</v>
      </c>
      <c r="Q275" s="171">
        <v>9043.0016730748139</v>
      </c>
      <c r="R275" s="171">
        <v>8354.5773943868626</v>
      </c>
      <c r="S275" s="171">
        <v>7517.5183850164922</v>
      </c>
      <c r="T275" s="177"/>
      <c r="U275" s="1"/>
      <c r="V275" s="1"/>
      <c r="W275" s="156">
        <f t="shared" si="98"/>
        <v>126.27022153420219</v>
      </c>
      <c r="X275" s="156">
        <f t="shared" si="98"/>
        <v>120.37437539578595</v>
      </c>
      <c r="Y275" s="156">
        <f t="shared" si="98"/>
        <v>108.24008499999627</v>
      </c>
      <c r="Z275" s="156">
        <f t="shared" si="98"/>
        <v>100</v>
      </c>
      <c r="AA275" s="156">
        <f t="shared" si="98"/>
        <v>89.980833621425788</v>
      </c>
      <c r="AB275" s="84"/>
      <c r="AC275" s="4"/>
      <c r="AD275" s="4"/>
      <c r="AE275" s="4"/>
      <c r="AF275" s="4"/>
      <c r="AG275" s="4"/>
      <c r="AH275" s="4"/>
      <c r="AI275" s="4"/>
      <c r="AJ275" s="4"/>
      <c r="AK275" s="4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Y275" s="38"/>
      <c r="AZ275" s="38"/>
      <c r="BC275" s="1"/>
      <c r="BD275" s="1"/>
      <c r="BE275" s="7"/>
      <c r="BF275" s="7"/>
      <c r="BG275" s="91"/>
      <c r="BH275" s="70"/>
      <c r="BI275" s="7"/>
      <c r="BJ275" s="4"/>
      <c r="BK275" s="7"/>
      <c r="BL275" s="7"/>
      <c r="BM275" s="7"/>
      <c r="BN275" s="7"/>
      <c r="BO275" s="7"/>
      <c r="BP275" s="4"/>
    </row>
    <row r="276" spans="1:68" s="5" customFormat="1" ht="11.25" customHeight="1" x14ac:dyDescent="0.2">
      <c r="A276" s="25" t="s">
        <v>26</v>
      </c>
      <c r="B276" s="25"/>
      <c r="C276" s="25"/>
      <c r="D276" s="25"/>
      <c r="G276" s="25"/>
      <c r="H276" s="136" t="str">
        <f t="shared" si="96"/>
        <v>Jabolka namizna</v>
      </c>
      <c r="I276" s="152" t="str">
        <f>+I$86</f>
        <v xml:space="preserve">  Amortizacija</v>
      </c>
      <c r="J276" s="165" t="str">
        <f>+J$86</f>
        <v>EUR/ha</v>
      </c>
      <c r="K276" s="171">
        <v>3226.6645229568376</v>
      </c>
      <c r="L276" s="171">
        <v>3437.071594448209</v>
      </c>
      <c r="M276" s="172">
        <f t="shared" si="106"/>
        <v>106.52088464711416</v>
      </c>
      <c r="N276" s="8"/>
      <c r="O276" s="171">
        <v>3783.0248654995276</v>
      </c>
      <c r="P276" s="171">
        <v>3696.5365477366981</v>
      </c>
      <c r="Q276" s="171">
        <v>3523.5599122110384</v>
      </c>
      <c r="R276" s="171">
        <v>3437.071594448209</v>
      </c>
      <c r="S276" s="171">
        <v>3323.9163945781693</v>
      </c>
      <c r="T276" s="177"/>
      <c r="U276" s="1"/>
      <c r="V276" s="1"/>
      <c r="W276" s="156">
        <f t="shared" si="98"/>
        <v>110.06534957287843</v>
      </c>
      <c r="X276" s="156">
        <f t="shared" si="98"/>
        <v>107.54901217965882</v>
      </c>
      <c r="Y276" s="156">
        <f t="shared" si="98"/>
        <v>102.51633739321959</v>
      </c>
      <c r="Z276" s="156">
        <f t="shared" si="98"/>
        <v>100</v>
      </c>
      <c r="AA276" s="156">
        <f t="shared" si="98"/>
        <v>96.707802070436472</v>
      </c>
      <c r="AB276" s="84"/>
      <c r="AC276" s="4"/>
      <c r="AD276" s="4"/>
      <c r="AE276" s="4"/>
      <c r="AF276" s="4"/>
      <c r="AG276" s="4"/>
      <c r="AH276" s="4"/>
      <c r="AI276" s="4"/>
      <c r="AJ276" s="4"/>
      <c r="AK276" s="4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Y276" s="38"/>
      <c r="AZ276" s="38"/>
      <c r="BC276" s="1"/>
      <c r="BD276" s="1"/>
      <c r="BE276" s="41"/>
      <c r="BF276" s="41"/>
      <c r="BG276" s="91"/>
      <c r="BH276" s="70"/>
      <c r="BI276" s="41"/>
      <c r="BJ276" s="4"/>
      <c r="BK276" s="41"/>
      <c r="BL276" s="41"/>
      <c r="BM276" s="41"/>
      <c r="BN276" s="41"/>
      <c r="BO276" s="41"/>
      <c r="BP276" s="4"/>
    </row>
    <row r="277" spans="1:68" s="5" customFormat="1" ht="11.25" customHeight="1" x14ac:dyDescent="0.2">
      <c r="A277" s="25"/>
      <c r="B277" s="25"/>
      <c r="C277" s="25"/>
      <c r="D277" s="25"/>
      <c r="G277" s="25"/>
      <c r="H277" s="136" t="str">
        <f t="shared" si="96"/>
        <v>Jabolka namizna</v>
      </c>
      <c r="I277" s="151" t="str">
        <f>+I$87</f>
        <v xml:space="preserve">  Stroški domačega dela in kapitala</v>
      </c>
      <c r="J277" s="168" t="str">
        <f>+J$87</f>
        <v>EUR/ha</v>
      </c>
      <c r="K277" s="169">
        <f>+K274-K275-K276</f>
        <v>6872.772931362565</v>
      </c>
      <c r="L277" s="169">
        <f>+L274-L275-L276</f>
        <v>7238.6146786466325</v>
      </c>
      <c r="M277" s="170">
        <f t="shared" si="106"/>
        <v>105.32305884302708</v>
      </c>
      <c r="N277" s="8"/>
      <c r="O277" s="169">
        <f>+O274-O275-O276</f>
        <v>8321.3514864666249</v>
      </c>
      <c r="P277" s="169">
        <f t="shared" ref="P277:S277" si="107">+P274-P275-P276</f>
        <v>8051.5781501831789</v>
      </c>
      <c r="Q277" s="169">
        <f t="shared" si="107"/>
        <v>7511.5739513598692</v>
      </c>
      <c r="R277" s="169">
        <f t="shared" si="107"/>
        <v>7238.6146786466325</v>
      </c>
      <c r="S277" s="169">
        <f t="shared" si="107"/>
        <v>6894.6195534809976</v>
      </c>
      <c r="T277" s="163"/>
      <c r="U277" s="1"/>
      <c r="V277" s="9"/>
      <c r="W277" s="155">
        <f t="shared" si="98"/>
        <v>114.95779034922226</v>
      </c>
      <c r="X277" s="155">
        <f t="shared" si="98"/>
        <v>111.2309261872265</v>
      </c>
      <c r="Y277" s="155">
        <f t="shared" si="98"/>
        <v>103.77087723039666</v>
      </c>
      <c r="Z277" s="155">
        <f t="shared" si="98"/>
        <v>100</v>
      </c>
      <c r="AA277" s="155">
        <f t="shared" si="98"/>
        <v>95.247776813146373</v>
      </c>
      <c r="AB277" s="84"/>
      <c r="AC277" s="8"/>
      <c r="AD277" s="8"/>
      <c r="AE277" s="8"/>
      <c r="AF277" s="8"/>
      <c r="AG277" s="8"/>
      <c r="AH277" s="8"/>
      <c r="AI277" s="8"/>
      <c r="AJ277" s="8"/>
      <c r="AK277" s="8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Y277" s="38"/>
      <c r="AZ277" s="38"/>
      <c r="BC277" s="9"/>
      <c r="BD277" s="9"/>
      <c r="BE277" s="8"/>
      <c r="BF277" s="8"/>
      <c r="BG277" s="91"/>
      <c r="BH277" s="71"/>
      <c r="BI277" s="8"/>
      <c r="BJ277" s="8"/>
      <c r="BK277" s="8"/>
      <c r="BL277" s="8"/>
      <c r="BM277" s="8"/>
      <c r="BN277" s="8"/>
      <c r="BO277" s="8"/>
      <c r="BP277" s="8"/>
    </row>
    <row r="278" spans="1:68" s="5" customFormat="1" ht="11.25" customHeight="1" x14ac:dyDescent="0.2">
      <c r="A278" s="25"/>
      <c r="B278" s="25"/>
      <c r="C278" s="25"/>
      <c r="D278" s="25"/>
      <c r="G278" s="25"/>
      <c r="H278" s="136" t="str">
        <f t="shared" si="96"/>
        <v>Jabolka namizna</v>
      </c>
      <c r="I278" s="152" t="str">
        <f>+I$88</f>
        <v xml:space="preserve">Bruto dodana vrednost </v>
      </c>
      <c r="J278" s="165" t="str">
        <f>+J$88</f>
        <v>EUR/ha</v>
      </c>
      <c r="K278" s="171">
        <f>+K273-K275</f>
        <v>9395.9441033940275</v>
      </c>
      <c r="L278" s="171">
        <f>+L273-L275</f>
        <v>17852.85460341314</v>
      </c>
      <c r="M278" s="172">
        <f t="shared" si="106"/>
        <v>190.00596860686181</v>
      </c>
      <c r="N278" s="8"/>
      <c r="O278" s="171">
        <f>+O273-O275</f>
        <v>28578.088613661337</v>
      </c>
      <c r="P278" s="171">
        <f t="shared" ref="P278:S278" si="108">+P273-P275</f>
        <v>25840.661642349289</v>
      </c>
      <c r="Q278" s="171">
        <f t="shared" si="108"/>
        <v>20394.430324725192</v>
      </c>
      <c r="R278" s="171">
        <f t="shared" si="108"/>
        <v>17852.85460341314</v>
      </c>
      <c r="S278" s="171">
        <f t="shared" si="108"/>
        <v>15454.43475988629</v>
      </c>
      <c r="T278" s="177"/>
      <c r="U278" s="1"/>
      <c r="V278" s="1"/>
      <c r="W278" s="156">
        <f t="shared" si="98"/>
        <v>160.07573717761488</v>
      </c>
      <c r="X278" s="156">
        <f t="shared" si="98"/>
        <v>144.74246397217075</v>
      </c>
      <c r="Y278" s="156">
        <f t="shared" si="98"/>
        <v>114.23624276213032</v>
      </c>
      <c r="Z278" s="156">
        <f t="shared" si="98"/>
        <v>100</v>
      </c>
      <c r="AA278" s="156">
        <f t="shared" si="98"/>
        <v>86.565622715213749</v>
      </c>
      <c r="AB278" s="84"/>
      <c r="AC278" s="4"/>
      <c r="AD278" s="4"/>
      <c r="AE278" s="4"/>
      <c r="AF278" s="4"/>
      <c r="AG278" s="4"/>
      <c r="AH278" s="4"/>
      <c r="AI278" s="4"/>
      <c r="AJ278" s="4"/>
      <c r="AK278" s="4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Y278" s="38"/>
      <c r="AZ278" s="38"/>
      <c r="BC278" s="1"/>
      <c r="BD278" s="1"/>
      <c r="BE278" s="4"/>
      <c r="BF278" s="4"/>
      <c r="BG278" s="91"/>
      <c r="BH278" s="70"/>
      <c r="BI278" s="4"/>
      <c r="BJ278" s="4"/>
      <c r="BK278" s="4"/>
      <c r="BL278" s="4"/>
      <c r="BM278" s="4"/>
      <c r="BN278" s="4"/>
      <c r="BO278" s="4"/>
      <c r="BP278" s="4"/>
    </row>
    <row r="279" spans="1:68" s="5" customFormat="1" ht="11.25" customHeight="1" x14ac:dyDescent="0.2">
      <c r="A279" s="25"/>
      <c r="B279" s="25"/>
      <c r="C279" s="25"/>
      <c r="D279" s="25"/>
      <c r="G279" s="25"/>
      <c r="H279" s="136" t="str">
        <f t="shared" si="96"/>
        <v>Jabolka namizna</v>
      </c>
      <c r="I279" s="151" t="str">
        <f>+I$89</f>
        <v>Neto dodana vrednost</v>
      </c>
      <c r="J279" s="168" t="str">
        <f>+J$89</f>
        <v>EUR/ha</v>
      </c>
      <c r="K279" s="169">
        <f>+K278-K276</f>
        <v>6169.2795804371899</v>
      </c>
      <c r="L279" s="169">
        <f>+L278-L276</f>
        <v>14415.783008964931</v>
      </c>
      <c r="M279" s="170">
        <f t="shared" si="106"/>
        <v>233.67044435265078</v>
      </c>
      <c r="N279" s="8"/>
      <c r="O279" s="169">
        <f>+O278-O276</f>
        <v>24795.063748161811</v>
      </c>
      <c r="P279" s="169">
        <f t="shared" ref="P279:S279" si="109">+P278-P276</f>
        <v>22144.125094612591</v>
      </c>
      <c r="Q279" s="169">
        <f t="shared" si="109"/>
        <v>16870.870412514152</v>
      </c>
      <c r="R279" s="169">
        <f t="shared" si="109"/>
        <v>14415.783008964931</v>
      </c>
      <c r="S279" s="169">
        <f t="shared" si="109"/>
        <v>12130.51836530812</v>
      </c>
      <c r="T279" s="163"/>
      <c r="U279" s="1"/>
      <c r="V279" s="9"/>
      <c r="W279" s="155">
        <f t="shared" si="98"/>
        <v>171.99942405308252</v>
      </c>
      <c r="X279" s="155">
        <f t="shared" si="98"/>
        <v>153.61028312400052</v>
      </c>
      <c r="Y279" s="155">
        <f t="shared" si="98"/>
        <v>117.03055187513883</v>
      </c>
      <c r="Z279" s="155">
        <f t="shared" si="98"/>
        <v>100</v>
      </c>
      <c r="AA279" s="155">
        <f t="shared" si="98"/>
        <v>84.147481671750725</v>
      </c>
      <c r="AB279" s="84"/>
      <c r="AC279" s="8"/>
      <c r="AD279" s="8"/>
      <c r="AE279" s="8"/>
      <c r="AF279" s="8"/>
      <c r="AG279" s="8"/>
      <c r="AH279" s="8"/>
      <c r="AI279" s="8"/>
      <c r="AJ279" s="8"/>
      <c r="AK279" s="8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Y279" s="38"/>
      <c r="AZ279" s="38"/>
      <c r="BC279" s="9"/>
      <c r="BD279" s="9"/>
      <c r="BE279" s="8"/>
      <c r="BF279" s="8"/>
      <c r="BG279" s="91"/>
      <c r="BH279" s="71"/>
      <c r="BI279" s="8"/>
      <c r="BJ279" s="8"/>
      <c r="BK279" s="8"/>
      <c r="BL279" s="8"/>
      <c r="BM279" s="8"/>
      <c r="BN279" s="8"/>
      <c r="BO279" s="8"/>
      <c r="BP279" s="8"/>
    </row>
    <row r="280" spans="1:68" s="5" customFormat="1" ht="11.25" customHeight="1" x14ac:dyDescent="0.25">
      <c r="A280" s="25" t="s">
        <v>25</v>
      </c>
      <c r="B280" s="25" t="s">
        <v>24</v>
      </c>
      <c r="C280" s="25"/>
      <c r="D280" s="25"/>
      <c r="G280" s="25"/>
      <c r="H280" s="136" t="str">
        <f t="shared" si="96"/>
        <v>Jabolka namizna</v>
      </c>
      <c r="I280" s="152" t="str">
        <f>+I$90</f>
        <v>Neto dodana vrednost/uro</v>
      </c>
      <c r="J280" s="167" t="str">
        <f>+J$90</f>
        <v>EUR/uro</v>
      </c>
      <c r="K280" s="171">
        <v>12.634080645814173</v>
      </c>
      <c r="L280" s="171">
        <v>29.517380201823769</v>
      </c>
      <c r="M280" s="172">
        <f t="shared" si="106"/>
        <v>233.63298865440788</v>
      </c>
      <c r="N280" s="8"/>
      <c r="O280" s="171">
        <v>43.744860479123986</v>
      </c>
      <c r="P280" s="171">
        <v>40.467776892041783</v>
      </c>
      <c r="Q280" s="171">
        <v>33.211036342291862</v>
      </c>
      <c r="R280" s="171">
        <v>29.517380201823769</v>
      </c>
      <c r="S280" s="171">
        <v>26.14825131464951</v>
      </c>
      <c r="T280" s="177"/>
      <c r="U280" s="1"/>
      <c r="V280" s="1"/>
      <c r="W280" s="156">
        <f t="shared" si="98"/>
        <v>148.20034901478539</v>
      </c>
      <c r="X280" s="156">
        <f t="shared" si="98"/>
        <v>137.09813206776877</v>
      </c>
      <c r="Y280" s="156">
        <f t="shared" si="98"/>
        <v>112.51349582928052</v>
      </c>
      <c r="Z280" s="156">
        <f t="shared" si="98"/>
        <v>100</v>
      </c>
      <c r="AA280" s="156">
        <f t="shared" si="98"/>
        <v>88.585948806642079</v>
      </c>
      <c r="AB280" s="84"/>
      <c r="AC280" s="4"/>
      <c r="AD280" s="4"/>
      <c r="AE280" s="339" t="s">
        <v>229</v>
      </c>
      <c r="AF280" s="340"/>
      <c r="AG280" s="340"/>
      <c r="AH280" s="340"/>
      <c r="AI280" s="340"/>
      <c r="AJ280" s="340"/>
      <c r="AK280" s="340"/>
      <c r="AL280" s="340"/>
      <c r="AM280" s="340"/>
      <c r="AN280" s="1"/>
      <c r="AO280" s="1"/>
      <c r="AP280" s="1"/>
      <c r="AQ280" s="1"/>
      <c r="AR280" s="1"/>
      <c r="AS280" s="1"/>
      <c r="AT280" s="1"/>
      <c r="AU280" s="1"/>
      <c r="AY280" s="38"/>
      <c r="AZ280" s="38"/>
      <c r="BC280" s="1"/>
      <c r="BD280" s="19"/>
      <c r="BE280" s="41"/>
      <c r="BF280" s="41"/>
      <c r="BG280" s="91"/>
      <c r="BH280" s="70"/>
      <c r="BI280" s="41"/>
      <c r="BJ280" s="4"/>
      <c r="BK280" s="41"/>
      <c r="BL280" s="41"/>
      <c r="BM280" s="41"/>
      <c r="BN280" s="41"/>
      <c r="BO280" s="41"/>
      <c r="BP280" s="4"/>
    </row>
    <row r="281" spans="1:68" s="5" customFormat="1" ht="11.25" customHeight="1" x14ac:dyDescent="0.25">
      <c r="A281" s="37" t="s">
        <v>67</v>
      </c>
      <c r="B281" s="25"/>
      <c r="C281" s="25"/>
      <c r="D281" s="25"/>
      <c r="G281" s="25"/>
      <c r="H281" s="136" t="str">
        <f t="shared" si="96"/>
        <v>Jabolka namizna</v>
      </c>
      <c r="I281" s="1"/>
      <c r="J281" s="19"/>
      <c r="K281" s="35">
        <v>0</v>
      </c>
      <c r="L281" s="35">
        <v>0</v>
      </c>
      <c r="M281" s="36"/>
      <c r="N281" s="36"/>
      <c r="O281" s="35">
        <v>0</v>
      </c>
      <c r="P281" s="35">
        <v>0</v>
      </c>
      <c r="Q281" s="35">
        <v>0</v>
      </c>
      <c r="R281" s="35">
        <v>0</v>
      </c>
      <c r="S281" s="35"/>
      <c r="T281" s="35"/>
      <c r="U281" s="35"/>
      <c r="V281" s="1"/>
      <c r="W281" s="4"/>
      <c r="X281" s="4"/>
      <c r="Y281" s="4"/>
      <c r="Z281" s="4"/>
      <c r="AA281" s="4"/>
      <c r="AB281" s="84"/>
      <c r="AC281" s="4"/>
      <c r="AD281" s="4"/>
      <c r="AE281" s="192" t="str">
        <f>AF$10&amp;""&amp;$L$56</f>
        <v>prva ocena letine 2021</v>
      </c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BC281" s="1"/>
      <c r="BD281" s="19"/>
      <c r="BE281" s="35"/>
      <c r="BF281" s="35"/>
      <c r="BG281" s="91"/>
      <c r="BH281" s="35"/>
      <c r="BI281" s="36"/>
      <c r="BJ281" s="36"/>
      <c r="BK281" s="35"/>
      <c r="BL281" s="35"/>
      <c r="BM281" s="35"/>
      <c r="BN281" s="35"/>
      <c r="BO281" s="35"/>
      <c r="BP281" s="4"/>
    </row>
    <row r="282" spans="1:68" s="5" customFormat="1" ht="10.199999999999999" x14ac:dyDescent="0.2">
      <c r="A282" s="25"/>
      <c r="B282" s="25"/>
      <c r="C282" s="25"/>
      <c r="D282" s="25"/>
      <c r="F282" s="29"/>
      <c r="G282" s="29"/>
      <c r="H282" s="136" t="str">
        <f>+I284</f>
        <v>Hruške namizne</v>
      </c>
      <c r="I282" s="141" t="s">
        <v>148</v>
      </c>
      <c r="J282" s="140"/>
      <c r="K282" s="140"/>
      <c r="L282" s="140"/>
      <c r="M282" s="140"/>
      <c r="N282" s="140"/>
      <c r="O282" s="140"/>
      <c r="P282" s="140"/>
      <c r="Q282" s="140"/>
      <c r="R282" s="140"/>
      <c r="S282" s="140"/>
      <c r="T282" s="140"/>
      <c r="U282" s="140"/>
      <c r="V282" s="140"/>
      <c r="W282" s="140"/>
      <c r="X282" s="140"/>
      <c r="Y282" s="140"/>
      <c r="Z282" s="140"/>
      <c r="AA282" s="140"/>
      <c r="AB282" s="140"/>
      <c r="AC282" s="140"/>
      <c r="AD282" s="140"/>
      <c r="AE282" s="140"/>
      <c r="AF282" s="140"/>
      <c r="AG282" s="140"/>
      <c r="AH282" s="140"/>
      <c r="AI282" s="140"/>
      <c r="AJ282" s="140"/>
      <c r="AK282" s="140"/>
      <c r="AL282" s="140"/>
      <c r="AM282" s="140"/>
      <c r="AN282" s="1"/>
      <c r="AO282" s="1"/>
      <c r="AP282" s="1"/>
      <c r="AQ282" s="1"/>
      <c r="AR282" s="1"/>
      <c r="AS282" s="1"/>
      <c r="AT282" s="1"/>
      <c r="AU282" s="1"/>
      <c r="BC282" s="13"/>
      <c r="BD282" s="27"/>
      <c r="BE282" s="29"/>
      <c r="BF282" s="29"/>
      <c r="BG282" s="91"/>
      <c r="BH282" s="28"/>
      <c r="BI282" s="27"/>
      <c r="BJ282" s="29"/>
      <c r="BK282" s="29"/>
      <c r="BL282" s="29"/>
      <c r="BM282" s="29"/>
      <c r="BN282" s="29"/>
      <c r="BO282" s="27"/>
      <c r="BP282" s="27"/>
    </row>
    <row r="283" spans="1:68" s="5" customFormat="1" ht="10.199999999999999" x14ac:dyDescent="0.2">
      <c r="A283" s="25"/>
      <c r="B283" s="25"/>
      <c r="C283" s="25"/>
      <c r="D283" s="25"/>
      <c r="H283" s="136" t="str">
        <f>+H282</f>
        <v>Hruške namizne</v>
      </c>
      <c r="I283" s="141" t="s">
        <v>149</v>
      </c>
      <c r="J283" s="140"/>
      <c r="K283" s="140" t="str">
        <f>+F284</f>
        <v>hruske</v>
      </c>
      <c r="L283" s="140" t="str">
        <f>+K283</f>
        <v>hruske</v>
      </c>
      <c r="M283" s="140"/>
      <c r="N283" s="140"/>
      <c r="O283" s="143" t="s">
        <v>137</v>
      </c>
      <c r="P283" s="143" t="s">
        <v>208</v>
      </c>
      <c r="Q283" s="143" t="s">
        <v>209</v>
      </c>
      <c r="R283" s="143" t="s">
        <v>136</v>
      </c>
      <c r="S283" s="143" t="s">
        <v>210</v>
      </c>
      <c r="T283" s="140"/>
      <c r="U283" s="140"/>
      <c r="V283" s="140"/>
      <c r="W283" s="140"/>
      <c r="X283" s="140"/>
      <c r="Y283" s="140"/>
      <c r="Z283" s="140"/>
      <c r="AA283" s="140"/>
      <c r="AB283" s="140"/>
      <c r="AC283" s="140"/>
      <c r="AD283" s="140"/>
      <c r="AE283" s="140"/>
      <c r="AF283" s="140"/>
      <c r="AG283" s="140"/>
      <c r="AH283" s="140"/>
      <c r="AI283" s="140"/>
      <c r="AJ283" s="140"/>
      <c r="AK283" s="140"/>
      <c r="AL283" s="140"/>
      <c r="AM283" s="140"/>
      <c r="AN283" s="1"/>
      <c r="AO283" s="1"/>
      <c r="AP283" s="1"/>
      <c r="AQ283" s="1"/>
      <c r="AR283" s="1"/>
      <c r="AS283" s="1"/>
      <c r="AT283" s="1"/>
      <c r="AU283" s="1"/>
      <c r="BC283" s="13"/>
      <c r="BD283" s="29"/>
      <c r="BE283" s="12"/>
      <c r="BF283" s="12"/>
      <c r="BG283" s="91"/>
      <c r="BH283" s="68"/>
      <c r="BI283" s="68"/>
      <c r="BJ283" s="68"/>
      <c r="BK283" s="12"/>
      <c r="BL283" s="12"/>
      <c r="BM283" s="12"/>
      <c r="BN283" s="29"/>
      <c r="BO283" s="29"/>
      <c r="BP283" s="29"/>
    </row>
    <row r="284" spans="1:68" s="5" customFormat="1" ht="12.75" customHeight="1" x14ac:dyDescent="0.25">
      <c r="A284" s="25"/>
      <c r="B284" s="25"/>
      <c r="C284" s="25"/>
      <c r="D284" s="25"/>
      <c r="F284" s="86" t="s">
        <v>121</v>
      </c>
      <c r="H284" s="136" t="str">
        <f>+H283</f>
        <v>Hruške namizne</v>
      </c>
      <c r="I284" s="149" t="s">
        <v>266</v>
      </c>
      <c r="J284" s="158"/>
      <c r="K284" s="185">
        <f>K$52</f>
        <v>2020</v>
      </c>
      <c r="L284" s="185">
        <f>+L$56</f>
        <v>2021</v>
      </c>
      <c r="M284" s="341" t="str">
        <f>"Indeks "&amp;L284&amp;"/"&amp;$K284</f>
        <v>Indeks 2021/2020</v>
      </c>
      <c r="N284" s="186"/>
      <c r="O284" s="179"/>
      <c r="P284" s="179"/>
      <c r="Q284" s="179" t="str">
        <f>+L284&amp;" "&amp;L$51</f>
        <v>2021 (prva ocena)</v>
      </c>
      <c r="R284" s="179"/>
      <c r="S284" s="179"/>
      <c r="T284" s="179"/>
      <c r="U284" s="142"/>
      <c r="V284" s="142"/>
      <c r="W284" s="179"/>
      <c r="X284" s="179"/>
      <c r="Y284" s="179" t="s">
        <v>217</v>
      </c>
      <c r="Z284" s="179"/>
      <c r="AA284" s="179"/>
      <c r="AB284" s="179"/>
      <c r="AC284" s="66"/>
      <c r="AD284" s="66"/>
      <c r="AE284" s="66"/>
      <c r="AF284" s="66"/>
      <c r="AG284" s="66"/>
      <c r="AH284" s="66"/>
      <c r="AI284" s="66"/>
      <c r="AJ284" s="66"/>
      <c r="AK284" s="66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BC284" s="103"/>
      <c r="BD284" s="1"/>
      <c r="BE284" s="66"/>
      <c r="BF284" s="66"/>
      <c r="BG284" s="91"/>
      <c r="BH284" s="34"/>
      <c r="BI284" s="67"/>
      <c r="BJ284" s="34"/>
      <c r="BK284" s="66"/>
      <c r="BL284" s="66"/>
      <c r="BM284" s="66"/>
      <c r="BN284" s="66"/>
      <c r="BO284" s="66"/>
      <c r="BP284" s="66"/>
    </row>
    <row r="285" spans="1:68" s="5" customFormat="1" ht="12" x14ac:dyDescent="0.25">
      <c r="A285" s="25"/>
      <c r="B285" s="25"/>
      <c r="C285" s="25"/>
      <c r="D285" s="25"/>
      <c r="H285" s="136" t="str">
        <f>+H284</f>
        <v>Hruške namizne</v>
      </c>
      <c r="I285" s="150" t="s">
        <v>84</v>
      </c>
      <c r="J285" s="158"/>
      <c r="K285" s="185"/>
      <c r="L285" s="330" t="str">
        <f>IF(ISBLANK(L$51),"",L$51)</f>
        <v>(prva ocena)</v>
      </c>
      <c r="M285" s="342"/>
      <c r="N285" s="186"/>
      <c r="O285" s="187" t="s">
        <v>83</v>
      </c>
      <c r="P285" s="185" t="s">
        <v>82</v>
      </c>
      <c r="Q285" s="185" t="s">
        <v>81</v>
      </c>
      <c r="R285" s="214" t="s">
        <v>80</v>
      </c>
      <c r="S285" s="185" t="s">
        <v>79</v>
      </c>
      <c r="T285" s="205"/>
      <c r="U285" s="191"/>
      <c r="V285" s="191"/>
      <c r="W285" s="188" t="str">
        <f>O285</f>
        <v>M 1</v>
      </c>
      <c r="X285" s="185" t="str">
        <f t="shared" ref="X285:AA285" si="110">P285</f>
        <v>M 2</v>
      </c>
      <c r="Y285" s="185" t="str">
        <f t="shared" si="110"/>
        <v>M 3</v>
      </c>
      <c r="Z285" s="214" t="str">
        <f t="shared" si="110"/>
        <v>M 4</v>
      </c>
      <c r="AA285" s="185" t="str">
        <f t="shared" si="110"/>
        <v>M 5</v>
      </c>
      <c r="AB285" s="188"/>
      <c r="AC285" s="66"/>
      <c r="AD285" s="66"/>
      <c r="AE285" s="66"/>
      <c r="AF285" s="66"/>
      <c r="AG285" s="66"/>
      <c r="AH285" s="66"/>
      <c r="AI285" s="66"/>
      <c r="AJ285" s="66"/>
      <c r="AK285" s="66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BC285" s="9"/>
      <c r="BD285" s="9"/>
      <c r="BE285" s="66"/>
      <c r="BF285" s="66"/>
      <c r="BG285" s="91"/>
      <c r="BH285" s="34"/>
      <c r="BI285" s="66"/>
      <c r="BJ285" s="66"/>
      <c r="BK285" s="66"/>
      <c r="BL285" s="66"/>
      <c r="BM285" s="66"/>
      <c r="BN285" s="66"/>
      <c r="BO285" s="66"/>
      <c r="BP285" s="66"/>
    </row>
    <row r="286" spans="1:68" s="5" customFormat="1" ht="10.199999999999999" x14ac:dyDescent="0.2">
      <c r="A286" s="25" t="s">
        <v>22</v>
      </c>
      <c r="B286" s="25"/>
      <c r="C286" s="25"/>
      <c r="D286" s="25"/>
      <c r="H286" s="136" t="str">
        <f>+H285</f>
        <v>Hruške namizne</v>
      </c>
      <c r="I286" s="9" t="s">
        <v>21</v>
      </c>
      <c r="J286" s="159" t="s">
        <v>20</v>
      </c>
      <c r="K286" s="160">
        <v>25000</v>
      </c>
      <c r="L286" s="160">
        <v>25000</v>
      </c>
      <c r="M286" s="160"/>
      <c r="N286" s="78"/>
      <c r="O286" s="178">
        <v>40000</v>
      </c>
      <c r="P286" s="178">
        <v>35000</v>
      </c>
      <c r="Q286" s="178">
        <v>30000</v>
      </c>
      <c r="R286" s="178">
        <v>25000</v>
      </c>
      <c r="S286" s="178">
        <v>20000</v>
      </c>
      <c r="T286" s="178"/>
      <c r="U286" s="2"/>
      <c r="V286" s="2"/>
      <c r="W286" s="8">
        <f>O286/$R286*100</f>
        <v>160</v>
      </c>
      <c r="X286" s="8">
        <f t="shared" ref="X286:AA287" si="111">P286/$R286*100</f>
        <v>140</v>
      </c>
      <c r="Y286" s="8">
        <f t="shared" si="111"/>
        <v>120</v>
      </c>
      <c r="Z286" s="8">
        <f t="shared" si="111"/>
        <v>100</v>
      </c>
      <c r="AA286" s="8">
        <f t="shared" si="111"/>
        <v>80</v>
      </c>
      <c r="AB286" s="62"/>
      <c r="AC286" s="82"/>
      <c r="AD286" s="82"/>
      <c r="AE286" s="82"/>
      <c r="AF286" s="82"/>
      <c r="AG286" s="82"/>
      <c r="AH286" s="82"/>
      <c r="AI286" s="82"/>
      <c r="AJ286" s="82"/>
      <c r="AK286" s="82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BC286" s="9"/>
      <c r="BD286" s="9"/>
      <c r="BE286" s="11"/>
      <c r="BF286" s="11"/>
      <c r="BG286" s="91"/>
      <c r="BH286" s="80"/>
      <c r="BI286" s="78"/>
      <c r="BJ286" s="78"/>
      <c r="BK286" s="11"/>
      <c r="BL286" s="11"/>
      <c r="BM286" s="11"/>
      <c r="BN286" s="11"/>
      <c r="BO286" s="78"/>
      <c r="BP286" s="66"/>
    </row>
    <row r="287" spans="1:68" s="5" customFormat="1" x14ac:dyDescent="0.25">
      <c r="A287" s="60" t="s">
        <v>199</v>
      </c>
      <c r="B287" s="25"/>
      <c r="C287" s="25"/>
      <c r="D287" s="25"/>
      <c r="H287" s="136" t="str">
        <f t="shared" ref="H287:H319" si="112">+H286</f>
        <v>Hruške namizne</v>
      </c>
      <c r="I287" s="9" t="s">
        <v>207</v>
      </c>
      <c r="J287" s="159" t="s">
        <v>206</v>
      </c>
      <c r="K287" s="160">
        <v>2200</v>
      </c>
      <c r="L287" s="160">
        <v>2200</v>
      </c>
      <c r="M287" s="160"/>
      <c r="N287" s="78"/>
      <c r="O287" s="161">
        <v>2200</v>
      </c>
      <c r="P287" s="161">
        <v>2200</v>
      </c>
      <c r="Q287" s="161">
        <v>2200</v>
      </c>
      <c r="R287" s="161">
        <v>2200</v>
      </c>
      <c r="S287" s="161">
        <v>2200</v>
      </c>
      <c r="T287" s="163"/>
      <c r="U287" s="9"/>
      <c r="V287" s="9"/>
      <c r="W287" s="8">
        <f>O287/$R287*100</f>
        <v>100</v>
      </c>
      <c r="X287" s="8">
        <f t="shared" si="111"/>
        <v>100</v>
      </c>
      <c r="Y287" s="8">
        <f t="shared" si="111"/>
        <v>100</v>
      </c>
      <c r="Z287" s="8">
        <f t="shared" si="111"/>
        <v>100</v>
      </c>
      <c r="AA287" s="8">
        <f t="shared" si="111"/>
        <v>100</v>
      </c>
      <c r="AB287" s="82"/>
      <c r="AC287" s="82"/>
      <c r="AD287" s="82"/>
      <c r="AE287" s="82"/>
      <c r="AF287" s="82"/>
      <c r="AG287" s="82"/>
      <c r="AH287" s="82"/>
      <c r="AI287" s="82"/>
      <c r="AJ287" s="82"/>
      <c r="AK287" s="82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BC287" s="9"/>
      <c r="BD287" s="9"/>
      <c r="BE287" s="11"/>
      <c r="BF287" s="11"/>
      <c r="BG287" s="91"/>
      <c r="BH287" s="80"/>
      <c r="BI287" s="78"/>
      <c r="BJ287" s="78"/>
      <c r="BK287" s="11"/>
      <c r="BL287" s="11"/>
      <c r="BM287" s="11"/>
      <c r="BN287" s="11"/>
      <c r="BO287" s="78"/>
      <c r="BP287" s="66"/>
    </row>
    <row r="288" spans="1:68" s="5" customFormat="1" ht="6" customHeight="1" x14ac:dyDescent="0.2">
      <c r="A288" s="25"/>
      <c r="B288" s="25"/>
      <c r="C288" s="25"/>
      <c r="D288" s="25"/>
      <c r="H288" s="136" t="str">
        <f t="shared" si="112"/>
        <v>Hruške namizne</v>
      </c>
      <c r="I288" s="9"/>
      <c r="J288" s="162"/>
      <c r="K288" s="161"/>
      <c r="L288" s="161"/>
      <c r="M288" s="161"/>
      <c r="N288" s="137"/>
      <c r="O288" s="161"/>
      <c r="P288" s="161"/>
      <c r="Q288" s="161"/>
      <c r="R288" s="161"/>
      <c r="S288" s="161"/>
      <c r="T288" s="161"/>
      <c r="U288" s="1"/>
      <c r="V288" s="1"/>
      <c r="W288" s="84"/>
      <c r="X288" s="182"/>
      <c r="Y288" s="182"/>
      <c r="Z288" s="182"/>
      <c r="AA288" s="182"/>
      <c r="AB288" s="84"/>
      <c r="AC288" s="82"/>
      <c r="AD288" s="82"/>
      <c r="AE288" s="82"/>
      <c r="AF288" s="82"/>
      <c r="AG288" s="82"/>
      <c r="AH288" s="82"/>
      <c r="AI288" s="82"/>
      <c r="AJ288" s="82"/>
      <c r="AK288" s="82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BC288" s="9"/>
      <c r="BD288" s="9"/>
      <c r="BE288" s="78"/>
      <c r="BF288" s="78"/>
      <c r="BG288" s="91"/>
      <c r="BH288" s="80"/>
      <c r="BI288" s="78"/>
      <c r="BJ288" s="78"/>
      <c r="BK288" s="78"/>
      <c r="BL288" s="78"/>
      <c r="BM288" s="78"/>
      <c r="BN288" s="78"/>
      <c r="BO288" s="78"/>
      <c r="BP288" s="66"/>
    </row>
    <row r="289" spans="1:68" s="5" customFormat="1" ht="6" customHeight="1" x14ac:dyDescent="0.2">
      <c r="A289" s="25"/>
      <c r="B289" s="25"/>
      <c r="C289" s="25"/>
      <c r="D289" s="25"/>
      <c r="H289" s="136" t="str">
        <f t="shared" si="112"/>
        <v>Hruške namizne</v>
      </c>
      <c r="I289" s="9"/>
      <c r="J289" s="159"/>
      <c r="K289" s="163"/>
      <c r="L289" s="163"/>
      <c r="M289" s="164"/>
      <c r="N289" s="8"/>
      <c r="O289" s="177"/>
      <c r="P289" s="177"/>
      <c r="Q289" s="177"/>
      <c r="R289" s="177"/>
      <c r="S289" s="177"/>
      <c r="T289" s="177"/>
      <c r="U289" s="1"/>
      <c r="V289" s="1"/>
      <c r="W289" s="84"/>
      <c r="X289" s="182"/>
      <c r="Y289" s="182"/>
      <c r="Z289" s="182"/>
      <c r="AA289" s="182"/>
      <c r="AB289" s="84"/>
      <c r="AC289" s="26"/>
      <c r="AD289" s="26"/>
      <c r="AE289" s="26"/>
      <c r="AF289" s="26"/>
      <c r="AG289" s="26"/>
      <c r="AH289" s="26"/>
      <c r="AI289" s="26"/>
      <c r="AJ289" s="26"/>
      <c r="AK289" s="26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BC289" s="9"/>
      <c r="BD289" s="9"/>
      <c r="BE289" s="87"/>
      <c r="BF289" s="87"/>
      <c r="BG289" s="91"/>
      <c r="BH289" s="88"/>
      <c r="BI289" s="66"/>
      <c r="BJ289" s="66"/>
      <c r="BK289" s="87"/>
      <c r="BL289" s="87"/>
      <c r="BM289" s="87"/>
      <c r="BN289" s="87"/>
      <c r="BO289" s="87"/>
      <c r="BP289" s="31"/>
    </row>
    <row r="290" spans="1:68" s="5" customFormat="1" ht="11.25" customHeight="1" x14ac:dyDescent="0.2">
      <c r="A290" s="25"/>
      <c r="B290" s="25"/>
      <c r="C290" s="25"/>
      <c r="D290" s="25"/>
      <c r="H290" s="136" t="str">
        <f t="shared" si="112"/>
        <v>Hruške namizne</v>
      </c>
      <c r="I290" s="151" t="str">
        <f>+I$62</f>
        <v>IZVLEČEK ANALITIČNE KALKULACIJE</v>
      </c>
      <c r="J290" s="165"/>
      <c r="K290" s="166"/>
      <c r="L290" s="166"/>
      <c r="M290" s="167"/>
      <c r="N290" s="1"/>
      <c r="O290" s="166"/>
      <c r="P290" s="166"/>
      <c r="Q290" s="166"/>
      <c r="R290" s="166"/>
      <c r="S290" s="166"/>
      <c r="T290" s="166"/>
      <c r="U290" s="1"/>
      <c r="V290" s="1"/>
      <c r="W290" s="154"/>
      <c r="X290" s="154"/>
      <c r="Y290" s="154"/>
      <c r="Z290" s="154"/>
      <c r="AA290" s="154"/>
      <c r="AB290" s="76"/>
      <c r="AC290" s="76"/>
      <c r="AD290" s="76"/>
      <c r="AE290" s="76"/>
      <c r="AF290" s="76"/>
      <c r="AG290" s="76"/>
      <c r="AH290" s="76"/>
      <c r="AI290" s="76"/>
      <c r="AJ290" s="76"/>
      <c r="AK290" s="76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BC290" s="9"/>
      <c r="BD290" s="1"/>
      <c r="BE290" s="77"/>
      <c r="BF290" s="77"/>
      <c r="BG290" s="91"/>
      <c r="BH290" s="24"/>
      <c r="BI290" s="1"/>
      <c r="BJ290" s="1"/>
      <c r="BK290" s="77"/>
      <c r="BL290" s="77"/>
      <c r="BM290" s="77"/>
      <c r="BN290" s="77"/>
      <c r="BO290" s="77"/>
      <c r="BP290" s="76"/>
    </row>
    <row r="291" spans="1:68" s="5" customFormat="1" ht="11.25" customHeight="1" x14ac:dyDescent="0.2">
      <c r="A291" s="25"/>
      <c r="B291" s="25"/>
      <c r="C291" s="25"/>
      <c r="D291" s="25"/>
      <c r="H291" s="136" t="str">
        <f t="shared" si="112"/>
        <v>Hruške namizne</v>
      </c>
      <c r="I291" s="151" t="str">
        <f>+I$63</f>
        <v>Stroški blaga in storitev</v>
      </c>
      <c r="J291" s="168" t="str">
        <f>+J$63</f>
        <v>EUR/ha</v>
      </c>
      <c r="K291" s="169">
        <f>+K301-K299-K298</f>
        <v>6999.1234066578954</v>
      </c>
      <c r="L291" s="169">
        <f>+L301-L299-L298</f>
        <v>7163.1904869417813</v>
      </c>
      <c r="M291" s="170">
        <f>L291/K291*100</f>
        <v>102.34410897981621</v>
      </c>
      <c r="N291" s="8"/>
      <c r="O291" s="169">
        <f>+O301-O299-O298</f>
        <v>9623.9961321177198</v>
      </c>
      <c r="P291" s="169">
        <f>+P301-P299-P298</f>
        <v>9018.7461407159335</v>
      </c>
      <c r="Q291" s="169">
        <f>+Q301-Q299-Q298</f>
        <v>8120.9623753435644</v>
      </c>
      <c r="R291" s="169">
        <f t="shared" ref="R291:S291" si="113">+R301-R299-R298</f>
        <v>7163.1904869417813</v>
      </c>
      <c r="S291" s="169">
        <f t="shared" si="113"/>
        <v>6012.8373030399944</v>
      </c>
      <c r="T291" s="169"/>
      <c r="U291" s="1"/>
      <c r="V291" s="9"/>
      <c r="W291" s="155">
        <f>O291/$R291*100</f>
        <v>134.35348605711229</v>
      </c>
      <c r="X291" s="155">
        <f t="shared" ref="X291:AA291" si="114">P291/$R291*100</f>
        <v>125.90403894963784</v>
      </c>
      <c r="Y291" s="155">
        <f t="shared" si="114"/>
        <v>113.3707443652066</v>
      </c>
      <c r="Z291" s="155">
        <f t="shared" si="114"/>
        <v>100</v>
      </c>
      <c r="AA291" s="155">
        <f t="shared" si="114"/>
        <v>83.940770722224457</v>
      </c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9"/>
      <c r="AM291" s="9"/>
      <c r="AN291" s="1"/>
      <c r="AO291" s="1"/>
      <c r="AP291" s="1"/>
      <c r="AQ291" s="1"/>
      <c r="AR291" s="1"/>
      <c r="AS291" s="1"/>
      <c r="AT291" s="1"/>
      <c r="AU291" s="1"/>
      <c r="AY291" s="38"/>
      <c r="AZ291" s="38"/>
      <c r="BC291" s="9"/>
      <c r="BD291" s="9"/>
      <c r="BE291" s="18"/>
      <c r="BF291" s="18"/>
      <c r="BG291" s="91"/>
      <c r="BH291" s="18"/>
      <c r="BI291" s="18"/>
      <c r="BJ291" s="18"/>
      <c r="BK291" s="18"/>
      <c r="BL291" s="18"/>
      <c r="BM291" s="18"/>
      <c r="BN291" s="18"/>
      <c r="BO291" s="18"/>
      <c r="BP291" s="8"/>
    </row>
    <row r="292" spans="1:68" s="5" customFormat="1" ht="11.25" customHeight="1" x14ac:dyDescent="0.2">
      <c r="A292" s="25" t="s">
        <v>19</v>
      </c>
      <c r="B292" s="25"/>
      <c r="C292" s="25"/>
      <c r="D292" s="25"/>
      <c r="H292" s="136" t="str">
        <f t="shared" si="112"/>
        <v>Hruške namizne</v>
      </c>
      <c r="I292" s="152" t="str">
        <f>+I$64</f>
        <v xml:space="preserve">  Od tega: seme</v>
      </c>
      <c r="J292" s="165" t="str">
        <f>+J$64</f>
        <v>EUR/ha</v>
      </c>
      <c r="K292" s="171">
        <v>0</v>
      </c>
      <c r="L292" s="171">
        <v>0</v>
      </c>
      <c r="M292" s="172"/>
      <c r="N292" s="8"/>
      <c r="O292" s="171">
        <v>0</v>
      </c>
      <c r="P292" s="171">
        <v>0</v>
      </c>
      <c r="Q292" s="171">
        <v>0</v>
      </c>
      <c r="R292" s="171">
        <v>0</v>
      </c>
      <c r="S292" s="171">
        <v>0</v>
      </c>
      <c r="T292" s="171"/>
      <c r="U292" s="171"/>
      <c r="V292" s="171"/>
      <c r="W292" s="156"/>
      <c r="X292" s="156"/>
      <c r="Y292" s="156"/>
      <c r="Z292" s="156"/>
      <c r="AA292" s="156"/>
      <c r="AB292" s="177"/>
      <c r="AC292" s="4"/>
      <c r="AD292" s="4"/>
      <c r="AE292" s="4"/>
      <c r="AF292" s="4"/>
      <c r="AG292" s="4"/>
      <c r="AH292" s="4"/>
      <c r="AI292" s="4"/>
      <c r="AJ292" s="4"/>
      <c r="AK292" s="4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Y292" s="38"/>
      <c r="AZ292" s="38"/>
      <c r="BC292" s="1"/>
      <c r="BD292" s="1"/>
      <c r="BE292" s="7"/>
      <c r="BF292" s="7"/>
      <c r="BG292" s="91"/>
      <c r="BH292" s="70"/>
      <c r="BI292" s="7"/>
      <c r="BJ292" s="4"/>
      <c r="BK292" s="7"/>
      <c r="BL292" s="7"/>
      <c r="BM292" s="7"/>
      <c r="BN292" s="7"/>
      <c r="BO292" s="7"/>
      <c r="BP292" s="4"/>
    </row>
    <row r="293" spans="1:68" s="5" customFormat="1" ht="11.25" customHeight="1" x14ac:dyDescent="0.2">
      <c r="A293" s="25" t="s">
        <v>18</v>
      </c>
      <c r="B293" s="25" t="s">
        <v>17</v>
      </c>
      <c r="C293" s="25"/>
      <c r="D293" s="25"/>
      <c r="H293" s="136" t="str">
        <f t="shared" si="112"/>
        <v>Hruške namizne</v>
      </c>
      <c r="I293" s="152" t="str">
        <f>+I$65</f>
        <v xml:space="preserve">                 gnojila</v>
      </c>
      <c r="J293" s="165" t="str">
        <f>+J$65</f>
        <v>EUR/ha</v>
      </c>
      <c r="K293" s="171">
        <v>98.212491339159513</v>
      </c>
      <c r="L293" s="171">
        <v>100.16696442434417</v>
      </c>
      <c r="M293" s="172">
        <f t="shared" ref="M293:M301" si="115">L293/K293*100</f>
        <v>101.99004531759127</v>
      </c>
      <c r="N293" s="8"/>
      <c r="O293" s="171">
        <v>143.35037084619984</v>
      </c>
      <c r="P293" s="171">
        <v>128.95590203891462</v>
      </c>
      <c r="Q293" s="171">
        <v>114.56143323162939</v>
      </c>
      <c r="R293" s="171">
        <v>100.16696442434417</v>
      </c>
      <c r="S293" s="171">
        <v>85.772495617058951</v>
      </c>
      <c r="T293" s="171"/>
      <c r="U293" s="1"/>
      <c r="V293" s="1"/>
      <c r="W293" s="156">
        <f t="shared" ref="W293:AA318" si="116">O293/$R293*100</f>
        <v>143.11142567814559</v>
      </c>
      <c r="X293" s="156">
        <f t="shared" si="116"/>
        <v>128.74095045209705</v>
      </c>
      <c r="Y293" s="156">
        <f t="shared" si="116"/>
        <v>114.37047522604853</v>
      </c>
      <c r="Z293" s="156">
        <f t="shared" si="116"/>
        <v>100</v>
      </c>
      <c r="AA293" s="156">
        <f t="shared" si="116"/>
        <v>85.629524773951474</v>
      </c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Y293" s="38"/>
      <c r="AZ293" s="38"/>
      <c r="BC293" s="1"/>
      <c r="BD293" s="1"/>
      <c r="BE293" s="7"/>
      <c r="BF293" s="7"/>
      <c r="BG293" s="91"/>
      <c r="BH293" s="70"/>
      <c r="BI293" s="7"/>
      <c r="BJ293" s="4"/>
      <c r="BK293" s="7"/>
      <c r="BL293" s="7"/>
      <c r="BM293" s="7"/>
      <c r="BN293" s="7"/>
      <c r="BO293" s="7"/>
      <c r="BP293" s="4"/>
    </row>
    <row r="294" spans="1:68" s="5" customFormat="1" ht="11.25" customHeight="1" x14ac:dyDescent="0.2">
      <c r="A294" s="25" t="s">
        <v>16</v>
      </c>
      <c r="B294" s="25"/>
      <c r="C294" s="25"/>
      <c r="D294" s="25"/>
      <c r="H294" s="136" t="str">
        <f t="shared" si="112"/>
        <v>Hruške namizne</v>
      </c>
      <c r="I294" s="152" t="str">
        <f>+I$66</f>
        <v xml:space="preserve">                 sredstva za varstvo</v>
      </c>
      <c r="J294" s="165" t="str">
        <f>+J$66</f>
        <v>EUR/ha</v>
      </c>
      <c r="K294" s="171">
        <v>1195.3470049361704</v>
      </c>
      <c r="L294" s="171">
        <v>1228.79808</v>
      </c>
      <c r="M294" s="172">
        <f t="shared" si="115"/>
        <v>102.79844053029738</v>
      </c>
      <c r="N294" s="8"/>
      <c r="O294" s="171">
        <v>1330.0177799999999</v>
      </c>
      <c r="P294" s="171">
        <v>1330.0177799999999</v>
      </c>
      <c r="Q294" s="171">
        <v>1330.0177799999999</v>
      </c>
      <c r="R294" s="171">
        <v>1228.79808</v>
      </c>
      <c r="S294" s="171">
        <v>936.90383000000008</v>
      </c>
      <c r="T294" s="171"/>
      <c r="U294" s="1"/>
      <c r="V294" s="1"/>
      <c r="W294" s="156">
        <f t="shared" si="116"/>
        <v>108.23729314420802</v>
      </c>
      <c r="X294" s="156">
        <f t="shared" si="116"/>
        <v>108.23729314420802</v>
      </c>
      <c r="Y294" s="156">
        <f t="shared" si="116"/>
        <v>108.23729314420802</v>
      </c>
      <c r="Z294" s="156">
        <f t="shared" si="116"/>
        <v>100</v>
      </c>
      <c r="AA294" s="156">
        <f t="shared" si="116"/>
        <v>76.245548007366679</v>
      </c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Y294" s="38"/>
      <c r="AZ294" s="38"/>
      <c r="BC294" s="1"/>
      <c r="BD294" s="1"/>
      <c r="BE294" s="7"/>
      <c r="BF294" s="7"/>
      <c r="BG294" s="91"/>
      <c r="BH294" s="70"/>
      <c r="BI294" s="7"/>
      <c r="BJ294" s="4"/>
      <c r="BK294" s="7"/>
      <c r="BL294" s="7"/>
      <c r="BM294" s="7"/>
      <c r="BN294" s="7"/>
      <c r="BO294" s="7"/>
      <c r="BP294" s="4"/>
    </row>
    <row r="295" spans="1:68" s="5" customFormat="1" ht="11.25" customHeight="1" x14ac:dyDescent="0.2">
      <c r="A295" s="25" t="s">
        <v>15</v>
      </c>
      <c r="B295" s="25" t="s">
        <v>14</v>
      </c>
      <c r="C295" s="25" t="s">
        <v>13</v>
      </c>
      <c r="D295" s="25"/>
      <c r="H295" s="136" t="str">
        <f t="shared" si="112"/>
        <v>Hruške namizne</v>
      </c>
      <c r="I295" s="152" t="str">
        <f>+I$67</f>
        <v xml:space="preserve">                 najete storitve</v>
      </c>
      <c r="J295" s="165" t="str">
        <f>+J$67</f>
        <v>EUR/ha</v>
      </c>
      <c r="K295" s="171">
        <v>1396.4549808429117</v>
      </c>
      <c r="L295" s="171">
        <v>1520.662835249042</v>
      </c>
      <c r="M295" s="172">
        <f t="shared" si="115"/>
        <v>108.89451189691468</v>
      </c>
      <c r="N295" s="8"/>
      <c r="O295" s="171">
        <v>2271.1835249042142</v>
      </c>
      <c r="P295" s="171">
        <v>2021.0099616858236</v>
      </c>
      <c r="Q295" s="171">
        <v>1770.8363984674329</v>
      </c>
      <c r="R295" s="171">
        <v>1520.662835249042</v>
      </c>
      <c r="S295" s="171">
        <v>1270.4892720306511</v>
      </c>
      <c r="T295" s="171"/>
      <c r="U295" s="1"/>
      <c r="V295" s="1"/>
      <c r="W295" s="156">
        <f t="shared" si="116"/>
        <v>149.35483870967741</v>
      </c>
      <c r="X295" s="156">
        <f t="shared" si="116"/>
        <v>132.90322580645162</v>
      </c>
      <c r="Y295" s="156">
        <f t="shared" si="116"/>
        <v>116.45161290322581</v>
      </c>
      <c r="Z295" s="156">
        <f t="shared" si="116"/>
        <v>100</v>
      </c>
      <c r="AA295" s="156">
        <f t="shared" si="116"/>
        <v>83.548387096774192</v>
      </c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Y295" s="38"/>
      <c r="AZ295" s="38"/>
      <c r="BC295" s="1"/>
      <c r="BD295" s="1"/>
      <c r="BE295" s="7"/>
      <c r="BF295" s="7"/>
      <c r="BG295" s="91"/>
      <c r="BH295" s="70"/>
      <c r="BI295" s="7"/>
      <c r="BJ295" s="4"/>
      <c r="BK295" s="7"/>
      <c r="BL295" s="7"/>
      <c r="BM295" s="7"/>
      <c r="BN295" s="7"/>
      <c r="BO295" s="7"/>
      <c r="BP295" s="4"/>
    </row>
    <row r="296" spans="1:68" s="5" customFormat="1" ht="11.25" customHeight="1" x14ac:dyDescent="0.2">
      <c r="A296" s="25" t="s">
        <v>12</v>
      </c>
      <c r="B296" s="120" t="s">
        <v>147</v>
      </c>
      <c r="C296" s="25"/>
      <c r="D296" s="25"/>
      <c r="H296" s="136" t="str">
        <f t="shared" si="112"/>
        <v>Hruške namizne</v>
      </c>
      <c r="I296" s="152" t="str">
        <f>+I$68</f>
        <v xml:space="preserve">                 zavarovanje</v>
      </c>
      <c r="J296" s="165" t="str">
        <f>+J$68</f>
        <v>EUR/ha</v>
      </c>
      <c r="K296" s="171">
        <v>1745.2208026999999</v>
      </c>
      <c r="L296" s="171">
        <v>1571.4083026999999</v>
      </c>
      <c r="M296" s="172">
        <f t="shared" si="115"/>
        <v>90.040658481087448</v>
      </c>
      <c r="N296" s="8"/>
      <c r="O296" s="171">
        <v>2263.9632843199997</v>
      </c>
      <c r="P296" s="171">
        <v>2199.9716237799998</v>
      </c>
      <c r="Q296" s="171">
        <v>1885.6899632400002</v>
      </c>
      <c r="R296" s="171">
        <v>1571.4083026999999</v>
      </c>
      <c r="S296" s="171">
        <v>1257.1266421600001</v>
      </c>
      <c r="T296" s="171"/>
      <c r="U296" s="1"/>
      <c r="V296" s="1"/>
      <c r="W296" s="156">
        <f t="shared" si="116"/>
        <v>144.07224910483475</v>
      </c>
      <c r="X296" s="156">
        <f t="shared" si="116"/>
        <v>140</v>
      </c>
      <c r="Y296" s="156">
        <f t="shared" si="116"/>
        <v>120.00000000000001</v>
      </c>
      <c r="Z296" s="156">
        <f t="shared" si="116"/>
        <v>100</v>
      </c>
      <c r="AA296" s="156">
        <f t="shared" si="116"/>
        <v>80</v>
      </c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Y296" s="38"/>
      <c r="AZ296" s="38"/>
      <c r="BC296" s="1"/>
      <c r="BD296" s="1"/>
      <c r="BE296" s="7"/>
      <c r="BF296" s="7"/>
      <c r="BG296" s="91"/>
      <c r="BH296" s="70"/>
      <c r="BI296" s="7"/>
      <c r="BJ296" s="4"/>
      <c r="BK296" s="7"/>
      <c r="BL296" s="7"/>
      <c r="BM296" s="7"/>
      <c r="BN296" s="7"/>
      <c r="BO296" s="7"/>
      <c r="BP296" s="4"/>
    </row>
    <row r="297" spans="1:68" s="5" customFormat="1" ht="11.25" customHeight="1" x14ac:dyDescent="0.2">
      <c r="A297" s="25" t="s">
        <v>11</v>
      </c>
      <c r="B297" s="25"/>
      <c r="C297" s="25"/>
      <c r="D297" s="25"/>
      <c r="H297" s="136" t="str">
        <f t="shared" si="112"/>
        <v>Hruške namizne</v>
      </c>
      <c r="I297" s="152" t="str">
        <f>+I$69</f>
        <v xml:space="preserve">                 domače strojne storitve</v>
      </c>
      <c r="J297" s="165" t="str">
        <f>+J$69</f>
        <v>EUR/ha</v>
      </c>
      <c r="K297" s="171">
        <v>945.5946903040425</v>
      </c>
      <c r="L297" s="171">
        <v>1063.2123475146411</v>
      </c>
      <c r="M297" s="172">
        <f t="shared" si="115"/>
        <v>112.43848536974974</v>
      </c>
      <c r="N297" s="8"/>
      <c r="O297" s="171">
        <v>1149.7341110313864</v>
      </c>
      <c r="P297" s="171">
        <v>1134.4490543774209</v>
      </c>
      <c r="Q297" s="171">
        <v>1078.4974041686069</v>
      </c>
      <c r="R297" s="171">
        <v>1063.2123475146411</v>
      </c>
      <c r="S297" s="171">
        <v>1047.9272908606754</v>
      </c>
      <c r="T297" s="171"/>
      <c r="U297" s="1"/>
      <c r="V297" s="1"/>
      <c r="W297" s="156">
        <f t="shared" si="116"/>
        <v>108.13776887740234</v>
      </c>
      <c r="X297" s="156">
        <f t="shared" si="116"/>
        <v>106.70013916122234</v>
      </c>
      <c r="Y297" s="156">
        <f t="shared" si="116"/>
        <v>101.43762971618003</v>
      </c>
      <c r="Z297" s="156">
        <f t="shared" si="116"/>
        <v>100</v>
      </c>
      <c r="AA297" s="156">
        <f t="shared" si="116"/>
        <v>98.562370283819973</v>
      </c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Y297" s="38"/>
      <c r="AZ297" s="38"/>
      <c r="BC297" s="1"/>
      <c r="BD297" s="1"/>
      <c r="BE297" s="7"/>
      <c r="BF297" s="7"/>
      <c r="BG297" s="91"/>
      <c r="BH297" s="70"/>
      <c r="BI297" s="7"/>
      <c r="BJ297" s="4"/>
      <c r="BK297" s="7"/>
      <c r="BL297" s="7"/>
      <c r="BM297" s="7"/>
      <c r="BN297" s="7"/>
      <c r="BO297" s="7"/>
      <c r="BP297" s="4"/>
    </row>
    <row r="298" spans="1:68" s="5" customFormat="1" ht="11.25" customHeight="1" x14ac:dyDescent="0.2">
      <c r="A298" s="25" t="s">
        <v>10</v>
      </c>
      <c r="B298" s="25"/>
      <c r="C298" s="25"/>
      <c r="D298" s="25"/>
      <c r="H298" s="136" t="str">
        <f t="shared" si="112"/>
        <v>Hruške namizne</v>
      </c>
      <c r="I298" s="152" t="str">
        <f>+I$70</f>
        <v>Amortizacija</v>
      </c>
      <c r="J298" s="165" t="str">
        <f>+J$70</f>
        <v>EUR/ha</v>
      </c>
      <c r="K298" s="171">
        <v>2176.3206372549021</v>
      </c>
      <c r="L298" s="171">
        <v>2303.2166480935116</v>
      </c>
      <c r="M298" s="172">
        <f t="shared" si="115"/>
        <v>105.83075897302842</v>
      </c>
      <c r="N298" s="8"/>
      <c r="O298" s="171">
        <v>2481.5031480935118</v>
      </c>
      <c r="P298" s="171">
        <v>2422.0743147601784</v>
      </c>
      <c r="Q298" s="171">
        <v>2362.645481426845</v>
      </c>
      <c r="R298" s="171">
        <v>2303.2166480935116</v>
      </c>
      <c r="S298" s="171">
        <v>2243.7878147601787</v>
      </c>
      <c r="T298" s="171"/>
      <c r="U298" s="1"/>
      <c r="V298" s="1"/>
      <c r="W298" s="156">
        <f t="shared" si="116"/>
        <v>107.7407611718844</v>
      </c>
      <c r="X298" s="156">
        <f t="shared" si="116"/>
        <v>105.16050744792294</v>
      </c>
      <c r="Y298" s="156">
        <f t="shared" si="116"/>
        <v>102.58025372396146</v>
      </c>
      <c r="Z298" s="156">
        <f t="shared" si="116"/>
        <v>100</v>
      </c>
      <c r="AA298" s="156">
        <f t="shared" si="116"/>
        <v>97.419746276038552</v>
      </c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Y298" s="38"/>
      <c r="AZ298" s="38"/>
      <c r="BC298" s="1"/>
      <c r="BD298" s="1"/>
      <c r="BE298" s="7"/>
      <c r="BF298" s="7"/>
      <c r="BG298" s="91"/>
      <c r="BH298" s="70"/>
      <c r="BI298" s="7"/>
      <c r="BJ298" s="4"/>
      <c r="BK298" s="7"/>
      <c r="BL298" s="7"/>
      <c r="BM298" s="7"/>
      <c r="BN298" s="7"/>
      <c r="BO298" s="7"/>
      <c r="BP298" s="4"/>
    </row>
    <row r="299" spans="1:68" s="5" customFormat="1" ht="11.25" customHeight="1" x14ac:dyDescent="0.2">
      <c r="A299" s="25" t="s">
        <v>7</v>
      </c>
      <c r="B299" s="25" t="s">
        <v>9</v>
      </c>
      <c r="C299" s="25" t="s">
        <v>8</v>
      </c>
      <c r="D299" s="25"/>
      <c r="H299" s="136" t="str">
        <f t="shared" si="112"/>
        <v>Hruške namizne</v>
      </c>
      <c r="I299" s="151" t="str">
        <f>+I$71</f>
        <v>Stroški domačega dela in kapitala</v>
      </c>
      <c r="J299" s="168" t="str">
        <f>+J$71</f>
        <v>EUR/ha</v>
      </c>
      <c r="K299" s="169">
        <v>5091.9862118106548</v>
      </c>
      <c r="L299" s="169">
        <v>5365.7712257478388</v>
      </c>
      <c r="M299" s="170">
        <f t="shared" si="115"/>
        <v>105.37678231143184</v>
      </c>
      <c r="N299" s="8"/>
      <c r="O299" s="169">
        <v>6191.2210104826454</v>
      </c>
      <c r="P299" s="169">
        <v>5928.9052332673036</v>
      </c>
      <c r="Q299" s="169">
        <v>5633.1094464331973</v>
      </c>
      <c r="R299" s="169">
        <v>5365.7712257478388</v>
      </c>
      <c r="S299" s="169">
        <v>5096.0522831168728</v>
      </c>
      <c r="T299" s="169"/>
      <c r="U299" s="1"/>
      <c r="V299" s="9"/>
      <c r="W299" s="155">
        <f t="shared" si="116"/>
        <v>115.38361868232208</v>
      </c>
      <c r="X299" s="155">
        <f t="shared" si="116"/>
        <v>110.49493136824854</v>
      </c>
      <c r="Y299" s="155">
        <f t="shared" si="116"/>
        <v>104.98228883487479</v>
      </c>
      <c r="Z299" s="155">
        <f t="shared" si="116"/>
        <v>100</v>
      </c>
      <c r="AA299" s="155">
        <f t="shared" si="116"/>
        <v>94.973342483617074</v>
      </c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Y299" s="38"/>
      <c r="AZ299" s="38"/>
      <c r="BC299" s="9"/>
      <c r="BD299" s="9"/>
      <c r="BE299" s="6"/>
      <c r="BF299" s="6"/>
      <c r="BG299" s="91"/>
      <c r="BH299" s="71"/>
      <c r="BI299" s="6"/>
      <c r="BJ299" s="8"/>
      <c r="BK299" s="6"/>
      <c r="BL299" s="6"/>
      <c r="BM299" s="6"/>
      <c r="BN299" s="6"/>
      <c r="BO299" s="6"/>
      <c r="BP299" s="8"/>
    </row>
    <row r="300" spans="1:68" s="5" customFormat="1" ht="11.25" customHeight="1" x14ac:dyDescent="0.2">
      <c r="A300" s="25" t="s">
        <v>7</v>
      </c>
      <c r="B300" s="25"/>
      <c r="C300" s="25"/>
      <c r="D300" s="25"/>
      <c r="H300" s="136" t="str">
        <f t="shared" si="112"/>
        <v>Hruške namizne</v>
      </c>
      <c r="I300" s="152" t="str">
        <f>+I$72</f>
        <v xml:space="preserve">  Od tega: domače delo neto</v>
      </c>
      <c r="J300" s="165" t="str">
        <f>+J$72</f>
        <v>EUR/ha</v>
      </c>
      <c r="K300" s="171">
        <v>2481.5557056913995</v>
      </c>
      <c r="L300" s="171">
        <v>2608.13321717601</v>
      </c>
      <c r="M300" s="172">
        <f t="shared" si="115"/>
        <v>105.10073222190046</v>
      </c>
      <c r="N300" s="8"/>
      <c r="O300" s="171">
        <v>3039.5510366501489</v>
      </c>
      <c r="P300" s="171">
        <v>2900.7115590921089</v>
      </c>
      <c r="Q300" s="171">
        <v>2746.9726947340496</v>
      </c>
      <c r="R300" s="171">
        <v>2608.13321717601</v>
      </c>
      <c r="S300" s="171">
        <v>2469.2937396179709</v>
      </c>
      <c r="T300" s="171"/>
      <c r="U300" s="1"/>
      <c r="V300" s="1"/>
      <c r="W300" s="156">
        <f t="shared" si="116"/>
        <v>116.54124937457229</v>
      </c>
      <c r="X300" s="156">
        <f t="shared" si="116"/>
        <v>111.21792169162632</v>
      </c>
      <c r="Y300" s="156">
        <f t="shared" si="116"/>
        <v>105.32332768294597</v>
      </c>
      <c r="Z300" s="156">
        <f t="shared" si="116"/>
        <v>100</v>
      </c>
      <c r="AA300" s="156">
        <f t="shared" si="116"/>
        <v>94.676672317054056</v>
      </c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Y300" s="38"/>
      <c r="AZ300" s="38"/>
      <c r="BC300" s="1"/>
      <c r="BD300" s="1"/>
      <c r="BE300" s="7"/>
      <c r="BF300" s="7"/>
      <c r="BG300" s="91"/>
      <c r="BH300" s="70"/>
      <c r="BI300" s="7"/>
      <c r="BJ300" s="4"/>
      <c r="BK300" s="7"/>
      <c r="BL300" s="7"/>
      <c r="BM300" s="7"/>
      <c r="BN300" s="7"/>
      <c r="BO300" s="7"/>
      <c r="BP300" s="4"/>
    </row>
    <row r="301" spans="1:68" s="5" customFormat="1" ht="11.25" customHeight="1" x14ac:dyDescent="0.2">
      <c r="A301" s="25" t="s">
        <v>6</v>
      </c>
      <c r="B301" s="25"/>
      <c r="C301" s="25"/>
      <c r="D301" s="25"/>
      <c r="H301" s="136" t="str">
        <f t="shared" si="112"/>
        <v>Hruške namizne</v>
      </c>
      <c r="I301" s="151" t="str">
        <f>+I$73</f>
        <v>Stroški skupaj</v>
      </c>
      <c r="J301" s="168" t="str">
        <f>+J$73</f>
        <v>EUR/ha</v>
      </c>
      <c r="K301" s="169">
        <v>14267.430255723451</v>
      </c>
      <c r="L301" s="169">
        <v>14832.178360783131</v>
      </c>
      <c r="M301" s="170">
        <f t="shared" si="115"/>
        <v>103.95830289643875</v>
      </c>
      <c r="N301" s="8"/>
      <c r="O301" s="169">
        <v>18296.720290693876</v>
      </c>
      <c r="P301" s="169">
        <v>17369.725688743416</v>
      </c>
      <c r="Q301" s="169">
        <v>16116.717303203608</v>
      </c>
      <c r="R301" s="169">
        <v>14832.178360783131</v>
      </c>
      <c r="S301" s="169">
        <v>13352.677400917046</v>
      </c>
      <c r="T301" s="169"/>
      <c r="U301" s="1"/>
      <c r="V301" s="9"/>
      <c r="W301" s="155">
        <f t="shared" si="116"/>
        <v>123.35828120211345</v>
      </c>
      <c r="X301" s="155">
        <f t="shared" si="116"/>
        <v>117.10839275415982</v>
      </c>
      <c r="Y301" s="155">
        <f t="shared" si="116"/>
        <v>108.66048742925616</v>
      </c>
      <c r="Z301" s="155">
        <f t="shared" si="116"/>
        <v>100</v>
      </c>
      <c r="AA301" s="155">
        <f t="shared" si="116"/>
        <v>90.0250595436612</v>
      </c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Y301" s="38"/>
      <c r="AZ301" s="38"/>
      <c r="BC301" s="9"/>
      <c r="BD301" s="9"/>
      <c r="BE301" s="6"/>
      <c r="BF301" s="6"/>
      <c r="BG301" s="91"/>
      <c r="BH301" s="71"/>
      <c r="BI301" s="6"/>
      <c r="BJ301" s="8"/>
      <c r="BK301" s="6"/>
      <c r="BL301" s="6"/>
      <c r="BM301" s="6"/>
      <c r="BN301" s="6"/>
      <c r="BO301" s="6"/>
      <c r="BP301" s="8"/>
    </row>
    <row r="302" spans="1:68" s="5" customFormat="1" ht="11.25" customHeight="1" x14ac:dyDescent="0.25">
      <c r="A302" s="25" t="s">
        <v>5</v>
      </c>
      <c r="B302" s="25"/>
      <c r="C302" s="25"/>
      <c r="D302" s="25"/>
      <c r="H302" s="136" t="str">
        <f t="shared" si="112"/>
        <v>Hruške namizne</v>
      </c>
      <c r="I302" s="152" t="str">
        <f>+I$74</f>
        <v>Stranski pridelki</v>
      </c>
      <c r="J302" s="165" t="str">
        <f>+J$74</f>
        <v>EUR/ha</v>
      </c>
      <c r="K302" s="171">
        <v>0</v>
      </c>
      <c r="L302" s="171">
        <v>0</v>
      </c>
      <c r="M302" s="172"/>
      <c r="N302" s="8"/>
      <c r="O302" s="171">
        <v>0</v>
      </c>
      <c r="P302" s="171">
        <v>0</v>
      </c>
      <c r="Q302" s="171">
        <v>0</v>
      </c>
      <c r="R302" s="171">
        <v>0</v>
      </c>
      <c r="S302" s="171">
        <v>0</v>
      </c>
      <c r="T302" s="171"/>
      <c r="U302" s="171"/>
      <c r="V302" s="171"/>
      <c r="W302" s="156"/>
      <c r="X302" s="156"/>
      <c r="Y302" s="156"/>
      <c r="Z302" s="156"/>
      <c r="AA302" s="156"/>
      <c r="AB302" s="4"/>
      <c r="AC302" s="4"/>
      <c r="AD302" s="4"/>
      <c r="AE302" s="339" t="s">
        <v>223</v>
      </c>
      <c r="AF302" s="340"/>
      <c r="AG302" s="340"/>
      <c r="AH302" s="340"/>
      <c r="AI302" s="340"/>
      <c r="AJ302" s="340"/>
      <c r="AK302" s="340"/>
      <c r="AL302" s="340"/>
      <c r="AM302" s="340"/>
      <c r="AN302" s="1"/>
      <c r="AO302" s="1"/>
      <c r="AP302" s="1"/>
      <c r="AQ302" s="1"/>
      <c r="AR302" s="1"/>
      <c r="AS302" s="1"/>
      <c r="AT302" s="1"/>
      <c r="AU302" s="1"/>
      <c r="AY302" s="38"/>
      <c r="AZ302" s="38"/>
      <c r="BC302" s="1"/>
      <c r="BD302" s="1"/>
      <c r="BE302" s="7"/>
      <c r="BF302" s="7"/>
      <c r="BG302" s="91"/>
      <c r="BH302" s="70"/>
      <c r="BI302" s="7"/>
      <c r="BJ302" s="4"/>
      <c r="BK302" s="7"/>
      <c r="BL302" s="7"/>
      <c r="BM302" s="7"/>
      <c r="BN302" s="7"/>
      <c r="BO302" s="7"/>
      <c r="BP302" s="4"/>
    </row>
    <row r="303" spans="1:68" s="5" customFormat="1" ht="11.25" customHeight="1" x14ac:dyDescent="0.25">
      <c r="A303" s="25"/>
      <c r="B303" s="25"/>
      <c r="C303" s="25"/>
      <c r="D303" s="25"/>
      <c r="H303" s="136" t="str">
        <f t="shared" si="112"/>
        <v>Hruške namizne</v>
      </c>
      <c r="I303" s="152" t="str">
        <f>+I$75</f>
        <v>Stroški glavnega pridelka</v>
      </c>
      <c r="J303" s="165" t="str">
        <f>+J$75</f>
        <v>EUR/ha</v>
      </c>
      <c r="K303" s="171">
        <f>+K301-K302</f>
        <v>14267.430255723451</v>
      </c>
      <c r="L303" s="171">
        <f>+L301-L302</f>
        <v>14832.178360783131</v>
      </c>
      <c r="M303" s="172">
        <f t="shared" ref="M303:M308" si="117">L303/K303*100</f>
        <v>103.95830289643875</v>
      </c>
      <c r="N303" s="8"/>
      <c r="O303" s="171">
        <f>+O301-O302</f>
        <v>18296.720290693876</v>
      </c>
      <c r="P303" s="171">
        <f>+P301-P302</f>
        <v>17369.725688743416</v>
      </c>
      <c r="Q303" s="171">
        <f>+Q301-Q302</f>
        <v>16116.717303203608</v>
      </c>
      <c r="R303" s="171">
        <f t="shared" ref="R303:S303" si="118">+R301-R302</f>
        <v>14832.178360783131</v>
      </c>
      <c r="S303" s="171">
        <f t="shared" si="118"/>
        <v>13352.677400917046</v>
      </c>
      <c r="T303" s="171"/>
      <c r="U303" s="1"/>
      <c r="V303" s="1"/>
      <c r="W303" s="156">
        <f t="shared" si="116"/>
        <v>123.35828120211345</v>
      </c>
      <c r="X303" s="156">
        <f t="shared" si="116"/>
        <v>117.10839275415982</v>
      </c>
      <c r="Y303" s="156">
        <f t="shared" si="116"/>
        <v>108.66048742925616</v>
      </c>
      <c r="Z303" s="156">
        <f t="shared" si="116"/>
        <v>100</v>
      </c>
      <c r="AA303" s="156">
        <f t="shared" si="116"/>
        <v>90.0250595436612</v>
      </c>
      <c r="AB303" s="4"/>
      <c r="AC303" s="4"/>
      <c r="AD303" s="4"/>
      <c r="AE303" s="192" t="str">
        <f>AF$10&amp;""&amp;$L$56&amp;", upoštevani stroški zmanjšani za subvencije"</f>
        <v>prva ocena letine 2021, upoštevani stroški zmanjšani za subvencije</v>
      </c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Y303" s="38"/>
      <c r="AZ303" s="38"/>
      <c r="BC303" s="1"/>
      <c r="BD303" s="1"/>
      <c r="BE303" s="17"/>
      <c r="BF303" s="17"/>
      <c r="BG303" s="91"/>
      <c r="BH303" s="17"/>
      <c r="BI303" s="17"/>
      <c r="BJ303" s="17"/>
      <c r="BK303" s="17"/>
      <c r="BL303" s="17"/>
      <c r="BM303" s="17"/>
      <c r="BN303" s="17"/>
      <c r="BO303" s="17"/>
      <c r="BP303" s="4"/>
    </row>
    <row r="304" spans="1:68" s="5" customFormat="1" ht="11.25" customHeight="1" x14ac:dyDescent="0.2">
      <c r="A304" s="25" t="s">
        <v>4</v>
      </c>
      <c r="B304" s="25" t="s">
        <v>3</v>
      </c>
      <c r="C304" s="21" t="s">
        <v>2</v>
      </c>
      <c r="D304" s="21" t="s">
        <v>1</v>
      </c>
      <c r="H304" s="136" t="str">
        <f t="shared" si="112"/>
        <v>Hruške namizne</v>
      </c>
      <c r="I304" s="152" t="str">
        <f>+I$76</f>
        <v>Subvencije</v>
      </c>
      <c r="J304" s="165" t="str">
        <f>+J$76</f>
        <v>EUR/ha</v>
      </c>
      <c r="K304" s="171">
        <v>350.88488116755855</v>
      </c>
      <c r="L304" s="171">
        <v>345.67422888095666</v>
      </c>
      <c r="M304" s="172">
        <f t="shared" si="117"/>
        <v>98.514996636713562</v>
      </c>
      <c r="N304" s="8"/>
      <c r="O304" s="171">
        <v>353.09021365402538</v>
      </c>
      <c r="P304" s="171">
        <v>351.75171134697996</v>
      </c>
      <c r="Q304" s="171">
        <v>347.01273118800208</v>
      </c>
      <c r="R304" s="171">
        <v>345.67422888095666</v>
      </c>
      <c r="S304" s="171">
        <v>344.33572657391124</v>
      </c>
      <c r="T304" s="171"/>
      <c r="U304" s="1"/>
      <c r="V304" s="1"/>
      <c r="W304" s="156">
        <f t="shared" si="116"/>
        <v>102.14536813955624</v>
      </c>
      <c r="X304" s="156">
        <f t="shared" si="116"/>
        <v>101.75815318535541</v>
      </c>
      <c r="Y304" s="156">
        <f t="shared" si="116"/>
        <v>100.38721495420081</v>
      </c>
      <c r="Z304" s="156">
        <f t="shared" si="116"/>
        <v>100</v>
      </c>
      <c r="AA304" s="156">
        <f t="shared" si="116"/>
        <v>99.612785045799185</v>
      </c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Y304" s="38"/>
      <c r="AZ304" s="38"/>
      <c r="BC304" s="1"/>
      <c r="BD304" s="1"/>
      <c r="BE304" s="7"/>
      <c r="BF304" s="7"/>
      <c r="BG304" s="91"/>
      <c r="BH304" s="70"/>
      <c r="BI304" s="6"/>
      <c r="BJ304" s="4"/>
      <c r="BK304" s="7"/>
      <c r="BL304" s="7"/>
      <c r="BM304" s="7"/>
      <c r="BN304" s="7"/>
      <c r="BO304" s="7"/>
      <c r="BP304" s="4"/>
    </row>
    <row r="305" spans="1:68" s="5" customFormat="1" ht="11.25" customHeight="1" x14ac:dyDescent="0.2">
      <c r="A305" s="25"/>
      <c r="B305" s="25"/>
      <c r="C305" s="25"/>
      <c r="D305" s="25"/>
      <c r="H305" s="136" t="str">
        <f t="shared" si="112"/>
        <v>Hruške namizne</v>
      </c>
      <c r="I305" s="151" t="str">
        <f>+I$77</f>
        <v>Stroški, zmanjšani za subvencije</v>
      </c>
      <c r="J305" s="168" t="str">
        <f>+J$77</f>
        <v>EUR/ha</v>
      </c>
      <c r="K305" s="169">
        <f>+K303-K304</f>
        <v>13916.545374555893</v>
      </c>
      <c r="L305" s="169">
        <f>+L303-L304</f>
        <v>14486.504131902175</v>
      </c>
      <c r="M305" s="170">
        <f t="shared" si="117"/>
        <v>104.09554772399447</v>
      </c>
      <c r="N305" s="8"/>
      <c r="O305" s="169">
        <f>+O303-O304</f>
        <v>17943.630077039852</v>
      </c>
      <c r="P305" s="169">
        <f>+P303-P304</f>
        <v>17017.973977396436</v>
      </c>
      <c r="Q305" s="169">
        <f>+Q303-Q304</f>
        <v>15769.704572015606</v>
      </c>
      <c r="R305" s="169">
        <f t="shared" ref="R305:S305" si="119">+R303-R304</f>
        <v>14486.504131902175</v>
      </c>
      <c r="S305" s="169">
        <f t="shared" si="119"/>
        <v>13008.341674343135</v>
      </c>
      <c r="T305" s="169"/>
      <c r="U305" s="9"/>
      <c r="V305" s="9"/>
      <c r="W305" s="155">
        <f t="shared" si="116"/>
        <v>123.86445973203703</v>
      </c>
      <c r="X305" s="155">
        <f t="shared" si="116"/>
        <v>117.47467727510228</v>
      </c>
      <c r="Y305" s="155">
        <f t="shared" si="116"/>
        <v>108.85790269639703</v>
      </c>
      <c r="Z305" s="155">
        <f t="shared" si="116"/>
        <v>100</v>
      </c>
      <c r="AA305" s="155">
        <f t="shared" si="116"/>
        <v>89.796279046344722</v>
      </c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Y305" s="38"/>
      <c r="AZ305" s="38"/>
      <c r="BC305" s="1"/>
      <c r="BD305" s="1"/>
      <c r="BE305" s="8"/>
      <c r="BF305" s="8"/>
      <c r="BG305" s="91"/>
      <c r="BH305" s="71"/>
      <c r="BI305" s="8"/>
      <c r="BJ305" s="8"/>
      <c r="BK305" s="8"/>
      <c r="BL305" s="8"/>
      <c r="BM305" s="8"/>
      <c r="BN305" s="8"/>
      <c r="BO305" s="8"/>
      <c r="BP305" s="4"/>
    </row>
    <row r="306" spans="1:68" s="5" customFormat="1" ht="11.25" customHeight="1" x14ac:dyDescent="0.2">
      <c r="A306" s="25"/>
      <c r="B306" s="25"/>
      <c r="C306" s="25"/>
      <c r="D306" s="25"/>
      <c r="H306" s="136" t="str">
        <f t="shared" si="112"/>
        <v>Hruške namizne</v>
      </c>
      <c r="I306" s="153" t="str">
        <f>+I$78</f>
        <v>Stroški, zmanjšani za subvencije/kg</v>
      </c>
      <c r="J306" s="173" t="str">
        <f>+J$78</f>
        <v>EUR/kg</v>
      </c>
      <c r="K306" s="174">
        <f>+K305/K286</f>
        <v>0.55666181498223577</v>
      </c>
      <c r="L306" s="174">
        <f>+L305/L286</f>
        <v>0.57946016527608701</v>
      </c>
      <c r="M306" s="170">
        <f t="shared" si="117"/>
        <v>104.09554772399447</v>
      </c>
      <c r="N306" s="8"/>
      <c r="O306" s="174">
        <f>+O305/O286</f>
        <v>0.44859075192599629</v>
      </c>
      <c r="P306" s="174">
        <f>+P305/P286</f>
        <v>0.48622782792561242</v>
      </c>
      <c r="Q306" s="174">
        <f>+Q305/Q286</f>
        <v>0.52565681906718686</v>
      </c>
      <c r="R306" s="174">
        <f t="shared" ref="R306:S306" si="120">+R305/R286</f>
        <v>0.57946016527608701</v>
      </c>
      <c r="S306" s="174">
        <f t="shared" si="120"/>
        <v>0.65041708371715679</v>
      </c>
      <c r="T306" s="174"/>
      <c r="U306" s="1"/>
      <c r="V306" s="16"/>
      <c r="W306" s="157">
        <f t="shared" si="116"/>
        <v>77.41528733252315</v>
      </c>
      <c r="X306" s="157">
        <f t="shared" si="116"/>
        <v>83.910483767930188</v>
      </c>
      <c r="Y306" s="157">
        <f t="shared" si="116"/>
        <v>90.714918913664206</v>
      </c>
      <c r="Z306" s="157">
        <f t="shared" si="116"/>
        <v>100</v>
      </c>
      <c r="AA306" s="157">
        <f t="shared" si="116"/>
        <v>112.24534880793091</v>
      </c>
      <c r="AB306" s="73"/>
      <c r="AC306" s="4"/>
      <c r="AD306" s="4"/>
      <c r="AE306" s="4"/>
      <c r="AF306" s="4"/>
      <c r="AG306" s="4"/>
      <c r="AH306" s="4"/>
      <c r="AI306" s="4"/>
      <c r="AJ306" s="4"/>
      <c r="AK306" s="4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Y306" s="38"/>
      <c r="AZ306" s="38"/>
      <c r="BC306" s="16"/>
      <c r="BD306" s="16"/>
      <c r="BE306" s="15"/>
      <c r="BF306" s="15"/>
      <c r="BG306" s="91"/>
      <c r="BH306" s="75"/>
      <c r="BI306" s="14"/>
      <c r="BJ306" s="15"/>
      <c r="BK306" s="15"/>
      <c r="BL306" s="15"/>
      <c r="BM306" s="15"/>
      <c r="BN306" s="15"/>
      <c r="BO306" s="15"/>
      <c r="BP306" s="32"/>
    </row>
    <row r="307" spans="1:68" s="5" customFormat="1" ht="11.25" customHeight="1" x14ac:dyDescent="0.2">
      <c r="A307" s="25" t="s">
        <v>30</v>
      </c>
      <c r="B307" s="25"/>
      <c r="C307" s="25"/>
      <c r="D307" s="25"/>
      <c r="H307" s="136" t="str">
        <f t="shared" si="112"/>
        <v>Hruške namizne</v>
      </c>
      <c r="I307" s="16" t="str">
        <f>+I$79</f>
        <v>Prodajna cena</v>
      </c>
      <c r="J307" s="175" t="str">
        <f>+J$79</f>
        <v>EUR/kg</v>
      </c>
      <c r="K307" s="176">
        <v>0.86329999999999996</v>
      </c>
      <c r="L307" s="176">
        <v>1.0860000000000001</v>
      </c>
      <c r="M307" s="164">
        <f t="shared" si="117"/>
        <v>125.79636279393027</v>
      </c>
      <c r="N307" s="8"/>
      <c r="O307" s="176">
        <v>1.0860000000000001</v>
      </c>
      <c r="P307" s="176">
        <v>1.0860000000000001</v>
      </c>
      <c r="Q307" s="176">
        <v>1.0860000000000001</v>
      </c>
      <c r="R307" s="176">
        <v>1.0860000000000001</v>
      </c>
      <c r="S307" s="176">
        <v>1.0860000000000001</v>
      </c>
      <c r="T307" s="176"/>
      <c r="U307" s="1"/>
      <c r="V307" s="16"/>
      <c r="W307" s="73">
        <f t="shared" si="116"/>
        <v>100</v>
      </c>
      <c r="X307" s="73">
        <f t="shared" si="116"/>
        <v>100</v>
      </c>
      <c r="Y307" s="73">
        <f t="shared" si="116"/>
        <v>100</v>
      </c>
      <c r="Z307" s="73">
        <f t="shared" si="116"/>
        <v>100</v>
      </c>
      <c r="AA307" s="73">
        <f t="shared" si="116"/>
        <v>100</v>
      </c>
      <c r="AB307" s="73"/>
      <c r="AC307" s="4"/>
      <c r="AD307" s="4"/>
      <c r="AE307" s="4"/>
      <c r="AF307" s="4"/>
      <c r="AG307" s="4"/>
      <c r="AH307" s="4"/>
      <c r="AI307" s="4"/>
      <c r="AJ307" s="4"/>
      <c r="AK307" s="4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Y307" s="38"/>
      <c r="AZ307" s="38"/>
      <c r="BC307" s="16"/>
      <c r="BD307" s="16"/>
      <c r="BE307" s="74"/>
      <c r="BF307" s="74"/>
      <c r="BG307" s="91"/>
      <c r="BH307" s="75"/>
      <c r="BI307" s="6"/>
      <c r="BJ307" s="15"/>
      <c r="BK307" s="74"/>
      <c r="BL307" s="74"/>
      <c r="BM307" s="74"/>
      <c r="BN307" s="74"/>
      <c r="BO307" s="74"/>
      <c r="BP307" s="32"/>
    </row>
    <row r="308" spans="1:68" s="5" customFormat="1" ht="11.25" customHeight="1" x14ac:dyDescent="0.2">
      <c r="A308" s="25"/>
      <c r="B308" s="25"/>
      <c r="C308" s="25"/>
      <c r="D308" s="25"/>
      <c r="H308" s="136" t="str">
        <f t="shared" si="112"/>
        <v>Hruške namizne</v>
      </c>
      <c r="I308" s="9" t="str">
        <f>+I$80</f>
        <v>Vrednost proizvodnje skupaj</v>
      </c>
      <c r="J308" s="159" t="str">
        <f>+J$80</f>
        <v>EUR/ha</v>
      </c>
      <c r="K308" s="163">
        <f>+K307*K286+K302+K304</f>
        <v>21933.38488116756</v>
      </c>
      <c r="L308" s="163">
        <f>+L307*L286+L302+L304</f>
        <v>27495.674228880962</v>
      </c>
      <c r="M308" s="164">
        <f t="shared" si="117"/>
        <v>125.35992222745926</v>
      </c>
      <c r="N308" s="8"/>
      <c r="O308" s="163">
        <f>+O307*O286+O302+O304</f>
        <v>43793.090213654024</v>
      </c>
      <c r="P308" s="163">
        <f>+P307*P286+P302+P304</f>
        <v>38361.75171134698</v>
      </c>
      <c r="Q308" s="163">
        <f>+Q307*Q286+Q302+Q304</f>
        <v>32927.012731188006</v>
      </c>
      <c r="R308" s="163">
        <f t="shared" ref="R308:S308" si="121">+R307*R286+R302+R304</f>
        <v>27495.674228880962</v>
      </c>
      <c r="S308" s="163">
        <f t="shared" si="121"/>
        <v>22064.335726573911</v>
      </c>
      <c r="T308" s="163"/>
      <c r="U308" s="1"/>
      <c r="V308" s="9"/>
      <c r="W308" s="8">
        <f t="shared" si="116"/>
        <v>159.27265448779048</v>
      </c>
      <c r="X308" s="8">
        <f t="shared" si="116"/>
        <v>139.51922543165892</v>
      </c>
      <c r="Y308" s="8">
        <f t="shared" si="116"/>
        <v>119.75342905613154</v>
      </c>
      <c r="Z308" s="8">
        <f t="shared" si="116"/>
        <v>100</v>
      </c>
      <c r="AA308" s="8">
        <f t="shared" si="116"/>
        <v>80.246570943868434</v>
      </c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Y308" s="38"/>
      <c r="AZ308" s="38"/>
      <c r="BC308" s="9"/>
      <c r="BD308" s="9"/>
      <c r="BE308" s="8"/>
      <c r="BF308" s="8"/>
      <c r="BG308" s="91"/>
      <c r="BH308" s="71"/>
      <c r="BI308" s="8"/>
      <c r="BJ308" s="8"/>
      <c r="BK308" s="8"/>
      <c r="BL308" s="8"/>
      <c r="BM308" s="8"/>
      <c r="BN308" s="8"/>
      <c r="BO308" s="8"/>
      <c r="BP308" s="8"/>
    </row>
    <row r="309" spans="1:68" s="5" customFormat="1" ht="11.25" customHeight="1" x14ac:dyDescent="0.2">
      <c r="A309" s="25"/>
      <c r="B309" s="25"/>
      <c r="C309" s="25"/>
      <c r="D309" s="25"/>
      <c r="H309" s="136" t="str">
        <f t="shared" si="112"/>
        <v>Hruške namizne</v>
      </c>
      <c r="I309" s="1" t="str">
        <f>+I$81</f>
        <v xml:space="preserve">  Od tega interna realizacija</v>
      </c>
      <c r="J309" s="162" t="str">
        <f>+J$81</f>
        <v>EUR/ha</v>
      </c>
      <c r="K309" s="177">
        <f>+K308-K311</f>
        <v>0</v>
      </c>
      <c r="L309" s="177">
        <f>+L308-L311</f>
        <v>0</v>
      </c>
      <c r="M309" s="164"/>
      <c r="N309" s="8"/>
      <c r="O309" s="177">
        <f>+O308-O311</f>
        <v>0</v>
      </c>
      <c r="P309" s="177">
        <f>+P308-P311</f>
        <v>0</v>
      </c>
      <c r="Q309" s="177">
        <f>+Q308-Q311</f>
        <v>0</v>
      </c>
      <c r="R309" s="177">
        <f t="shared" ref="R309:S309" si="122">+R308-R311</f>
        <v>0</v>
      </c>
      <c r="S309" s="177">
        <f t="shared" si="122"/>
        <v>0</v>
      </c>
      <c r="T309" s="177"/>
      <c r="U309" s="177"/>
      <c r="V309" s="177"/>
      <c r="W309" s="4"/>
      <c r="X309" s="4"/>
      <c r="Y309" s="4"/>
      <c r="Z309" s="4"/>
      <c r="AA309" s="4"/>
      <c r="AB309" s="177"/>
      <c r="AC309" s="4"/>
      <c r="AD309" s="4"/>
      <c r="AE309" s="4"/>
      <c r="AF309" s="4"/>
      <c r="AG309" s="4"/>
      <c r="AH309" s="4"/>
      <c r="AI309" s="4"/>
      <c r="AJ309" s="4"/>
      <c r="AK309" s="4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Y309" s="38"/>
      <c r="AZ309" s="38"/>
      <c r="BC309" s="1"/>
      <c r="BD309" s="1"/>
      <c r="BE309" s="4"/>
      <c r="BF309" s="4"/>
      <c r="BG309" s="91"/>
      <c r="BH309" s="70"/>
      <c r="BI309" s="4"/>
      <c r="BJ309" s="8"/>
      <c r="BK309" s="4"/>
      <c r="BL309" s="4"/>
      <c r="BM309" s="4"/>
      <c r="BN309" s="4"/>
      <c r="BO309" s="4"/>
      <c r="BP309" s="4"/>
    </row>
    <row r="310" spans="1:68" s="5" customFormat="1" ht="11.25" customHeight="1" x14ac:dyDescent="0.2">
      <c r="A310" s="25"/>
      <c r="B310" s="25"/>
      <c r="C310" s="25"/>
      <c r="D310" s="25"/>
      <c r="H310" s="136" t="str">
        <f t="shared" si="112"/>
        <v>Hruške namizne</v>
      </c>
      <c r="I310" s="151" t="str">
        <f>+I$82</f>
        <v>OBRAČUN DOHODKA</v>
      </c>
      <c r="J310" s="165"/>
      <c r="K310" s="171"/>
      <c r="L310" s="171"/>
      <c r="M310" s="170"/>
      <c r="N310" s="8"/>
      <c r="O310" s="171"/>
      <c r="P310" s="171"/>
      <c r="Q310" s="171"/>
      <c r="R310" s="171"/>
      <c r="S310" s="171"/>
      <c r="T310" s="171"/>
      <c r="U310" s="171"/>
      <c r="V310" s="171"/>
      <c r="W310" s="156"/>
      <c r="X310" s="156"/>
      <c r="Y310" s="156"/>
      <c r="Z310" s="156"/>
      <c r="AA310" s="156"/>
      <c r="AB310" s="177"/>
      <c r="AC310" s="4"/>
      <c r="AD310" s="4"/>
      <c r="AE310" s="4"/>
      <c r="AF310" s="4"/>
      <c r="AG310" s="4"/>
      <c r="AH310" s="4"/>
      <c r="AI310" s="4"/>
      <c r="AJ310" s="4"/>
      <c r="AK310" s="4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Y310" s="38"/>
      <c r="AZ310" s="38"/>
      <c r="BC310" s="9"/>
      <c r="BD310" s="1"/>
      <c r="BE310" s="4"/>
      <c r="BF310" s="4"/>
      <c r="BG310" s="91"/>
      <c r="BH310" s="70"/>
      <c r="BI310" s="4"/>
      <c r="BJ310" s="8"/>
      <c r="BK310" s="4"/>
      <c r="BL310" s="4"/>
      <c r="BM310" s="4"/>
      <c r="BN310" s="4"/>
      <c r="BO310" s="4"/>
      <c r="BP310" s="4"/>
    </row>
    <row r="311" spans="1:68" s="5" customFormat="1" ht="11.25" customHeight="1" x14ac:dyDescent="0.2">
      <c r="A311" s="25" t="s">
        <v>29</v>
      </c>
      <c r="B311" s="25"/>
      <c r="C311" s="25"/>
      <c r="D311" s="25"/>
      <c r="H311" s="136" t="str">
        <f t="shared" si="112"/>
        <v>Hruške namizne</v>
      </c>
      <c r="I311" s="152" t="str">
        <f>+I$83</f>
        <v>Vrednost finalne proizvodnje skupaj</v>
      </c>
      <c r="J311" s="165" t="str">
        <f>+J$83</f>
        <v>EUR/ha</v>
      </c>
      <c r="K311" s="171">
        <v>21933.38488116756</v>
      </c>
      <c r="L311" s="171">
        <v>27495.674228880962</v>
      </c>
      <c r="M311" s="172">
        <f t="shared" ref="M311:M318" si="123">L311/K311*100</f>
        <v>125.35992222745926</v>
      </c>
      <c r="N311" s="8"/>
      <c r="O311" s="171">
        <v>43793.090213654024</v>
      </c>
      <c r="P311" s="171">
        <v>38361.75171134698</v>
      </c>
      <c r="Q311" s="171">
        <v>32927.012731188006</v>
      </c>
      <c r="R311" s="171">
        <v>27495.674228880962</v>
      </c>
      <c r="S311" s="171">
        <v>22064.335726573911</v>
      </c>
      <c r="T311" s="171"/>
      <c r="U311" s="1"/>
      <c r="V311" s="1"/>
      <c r="W311" s="156">
        <f t="shared" si="116"/>
        <v>159.27265448779048</v>
      </c>
      <c r="X311" s="156">
        <f t="shared" si="116"/>
        <v>139.51922543165892</v>
      </c>
      <c r="Y311" s="156">
        <f t="shared" si="116"/>
        <v>119.75342905613154</v>
      </c>
      <c r="Z311" s="156">
        <f t="shared" si="116"/>
        <v>100</v>
      </c>
      <c r="AA311" s="156">
        <f t="shared" si="116"/>
        <v>80.246570943868434</v>
      </c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Y311" s="38"/>
      <c r="AZ311" s="38"/>
      <c r="BC311" s="1"/>
      <c r="BD311" s="1"/>
      <c r="BE311" s="41"/>
      <c r="BF311" s="41"/>
      <c r="BG311" s="91"/>
      <c r="BH311" s="70"/>
      <c r="BI311" s="41"/>
      <c r="BJ311" s="4"/>
      <c r="BK311" s="41"/>
      <c r="BL311" s="41"/>
      <c r="BM311" s="41"/>
      <c r="BN311" s="41"/>
      <c r="BO311" s="41"/>
      <c r="BP311" s="4"/>
    </row>
    <row r="312" spans="1:68" s="5" customFormat="1" ht="11.25" customHeight="1" x14ac:dyDescent="0.2">
      <c r="A312" s="25" t="s">
        <v>28</v>
      </c>
      <c r="B312" s="25"/>
      <c r="C312" s="25"/>
      <c r="D312" s="25"/>
      <c r="H312" s="136" t="str">
        <f t="shared" si="112"/>
        <v>Hruške namizne</v>
      </c>
      <c r="I312" s="152" t="str">
        <f>+I$84</f>
        <v>Stroški zmanjšani za interno realizacijo</v>
      </c>
      <c r="J312" s="165" t="str">
        <f>+J$84</f>
        <v>EUR/ha</v>
      </c>
      <c r="K312" s="171">
        <v>14267.430255723451</v>
      </c>
      <c r="L312" s="171">
        <v>14832.178360783126</v>
      </c>
      <c r="M312" s="172">
        <f t="shared" si="123"/>
        <v>103.95830289643871</v>
      </c>
      <c r="N312" s="8"/>
      <c r="O312" s="171">
        <v>18296.720290693876</v>
      </c>
      <c r="P312" s="171">
        <v>17369.725688743416</v>
      </c>
      <c r="Q312" s="171">
        <v>16116.717303203608</v>
      </c>
      <c r="R312" s="171">
        <v>14832.178360783126</v>
      </c>
      <c r="S312" s="171">
        <v>13352.677400917044</v>
      </c>
      <c r="T312" s="171"/>
      <c r="U312" s="1"/>
      <c r="V312" s="1"/>
      <c r="W312" s="156">
        <f t="shared" si="116"/>
        <v>123.35828120211349</v>
      </c>
      <c r="X312" s="156">
        <f t="shared" si="116"/>
        <v>117.10839275415988</v>
      </c>
      <c r="Y312" s="156">
        <f t="shared" si="116"/>
        <v>108.66048742925621</v>
      </c>
      <c r="Z312" s="156">
        <f t="shared" si="116"/>
        <v>100</v>
      </c>
      <c r="AA312" s="156">
        <f t="shared" si="116"/>
        <v>90.025059543661229</v>
      </c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Y312" s="38"/>
      <c r="AZ312" s="38"/>
      <c r="BC312" s="1"/>
      <c r="BD312" s="1"/>
      <c r="BE312" s="7"/>
      <c r="BF312" s="7"/>
      <c r="BG312" s="91"/>
      <c r="BH312" s="70"/>
      <c r="BI312" s="7"/>
      <c r="BJ312" s="4"/>
      <c r="BK312" s="7"/>
      <c r="BL312" s="7"/>
      <c r="BM312" s="7"/>
      <c r="BN312" s="7"/>
      <c r="BO312" s="7"/>
      <c r="BP312" s="4"/>
    </row>
    <row r="313" spans="1:68" s="5" customFormat="1" ht="11.25" customHeight="1" x14ac:dyDescent="0.2">
      <c r="A313" s="25" t="s">
        <v>27</v>
      </c>
      <c r="B313" s="25"/>
      <c r="C313" s="25"/>
      <c r="D313" s="25"/>
      <c r="H313" s="136" t="str">
        <f t="shared" si="112"/>
        <v>Hruške namizne</v>
      </c>
      <c r="I313" s="152" t="str">
        <f>+I$85</f>
        <v xml:space="preserve">  Stroški kupljenega blaga in storitev</v>
      </c>
      <c r="J313" s="165" t="str">
        <f>+J$85</f>
        <v>EUR/ha</v>
      </c>
      <c r="K313" s="171">
        <v>6305.6016906849891</v>
      </c>
      <c r="L313" s="171">
        <v>6404.8561298617869</v>
      </c>
      <c r="M313" s="172">
        <f t="shared" si="123"/>
        <v>101.57406769481527</v>
      </c>
      <c r="N313" s="8"/>
      <c r="O313" s="171">
        <v>8696.9499047668505</v>
      </c>
      <c r="P313" s="171">
        <v>8141.8043760788996</v>
      </c>
      <c r="Q313" s="171">
        <v>7312.5235555497375</v>
      </c>
      <c r="R313" s="171">
        <v>6404.8561298617869</v>
      </c>
      <c r="S313" s="171">
        <v>5304.6074086738354</v>
      </c>
      <c r="T313" s="171"/>
      <c r="U313" s="1"/>
      <c r="V313" s="1"/>
      <c r="W313" s="156">
        <f t="shared" si="116"/>
        <v>135.78681126369852</v>
      </c>
      <c r="X313" s="156">
        <f t="shared" si="116"/>
        <v>127.11923907422093</v>
      </c>
      <c r="Y313" s="156">
        <f t="shared" si="116"/>
        <v>114.17155057482201</v>
      </c>
      <c r="Z313" s="156">
        <f t="shared" si="116"/>
        <v>100</v>
      </c>
      <c r="AA313" s="156">
        <f t="shared" si="116"/>
        <v>82.82164815446535</v>
      </c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Y313" s="38"/>
      <c r="AZ313" s="38"/>
      <c r="BC313" s="1"/>
      <c r="BD313" s="1"/>
      <c r="BE313" s="7"/>
      <c r="BF313" s="7"/>
      <c r="BG313" s="91"/>
      <c r="BH313" s="70"/>
      <c r="BI313" s="7"/>
      <c r="BJ313" s="4"/>
      <c r="BK313" s="7"/>
      <c r="BL313" s="7"/>
      <c r="BM313" s="7"/>
      <c r="BN313" s="7"/>
      <c r="BO313" s="7"/>
      <c r="BP313" s="4"/>
    </row>
    <row r="314" spans="1:68" s="5" customFormat="1" ht="11.25" customHeight="1" x14ac:dyDescent="0.2">
      <c r="A314" s="25" t="s">
        <v>26</v>
      </c>
      <c r="B314" s="25"/>
      <c r="C314" s="25"/>
      <c r="D314" s="25"/>
      <c r="H314" s="136" t="str">
        <f t="shared" si="112"/>
        <v>Hruške namizne</v>
      </c>
      <c r="I314" s="152" t="str">
        <f>+I$86</f>
        <v xml:space="preserve">  Amortizacija</v>
      </c>
      <c r="J314" s="165" t="str">
        <f>+J$86</f>
        <v>EUR/ha</v>
      </c>
      <c r="K314" s="171">
        <v>2653.7848068519734</v>
      </c>
      <c r="L314" s="171">
        <v>2833.0472215658738</v>
      </c>
      <c r="M314" s="172">
        <f t="shared" si="123"/>
        <v>106.75497177657553</v>
      </c>
      <c r="N314" s="8"/>
      <c r="O314" s="171">
        <v>3152.0456159079681</v>
      </c>
      <c r="P314" s="171">
        <v>3050.1572981451382</v>
      </c>
      <c r="Q314" s="171">
        <v>2934.9355393287037</v>
      </c>
      <c r="R314" s="171">
        <v>2833.0472215658738</v>
      </c>
      <c r="S314" s="171">
        <v>2731.1589038030438</v>
      </c>
      <c r="T314" s="171"/>
      <c r="U314" s="1"/>
      <c r="V314" s="1"/>
      <c r="W314" s="156">
        <f t="shared" si="116"/>
        <v>111.25990389125171</v>
      </c>
      <c r="X314" s="156">
        <f t="shared" si="116"/>
        <v>107.66348244838871</v>
      </c>
      <c r="Y314" s="156">
        <f t="shared" si="116"/>
        <v>103.596421442863</v>
      </c>
      <c r="Z314" s="156">
        <f t="shared" si="116"/>
        <v>100</v>
      </c>
      <c r="AA314" s="156">
        <f t="shared" si="116"/>
        <v>96.403578557136981</v>
      </c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Y314" s="38"/>
      <c r="AZ314" s="38"/>
      <c r="BC314" s="1"/>
      <c r="BD314" s="1"/>
      <c r="BE314" s="41"/>
      <c r="BF314" s="41"/>
      <c r="BG314" s="91"/>
      <c r="BH314" s="70"/>
      <c r="BI314" s="41"/>
      <c r="BJ314" s="4"/>
      <c r="BK314" s="41"/>
      <c r="BL314" s="41"/>
      <c r="BM314" s="41"/>
      <c r="BN314" s="41"/>
      <c r="BO314" s="41"/>
      <c r="BP314" s="4"/>
    </row>
    <row r="315" spans="1:68" s="5" customFormat="1" ht="11.25" customHeight="1" x14ac:dyDescent="0.2">
      <c r="A315" s="25"/>
      <c r="B315" s="25"/>
      <c r="C315" s="25"/>
      <c r="D315" s="25"/>
      <c r="H315" s="136" t="str">
        <f t="shared" si="112"/>
        <v>Hruške namizne</v>
      </c>
      <c r="I315" s="151" t="str">
        <f>+I$87</f>
        <v xml:space="preserve">  Stroški domačega dela in kapitala</v>
      </c>
      <c r="J315" s="168" t="str">
        <f>+J$87</f>
        <v>EUR/ha</v>
      </c>
      <c r="K315" s="169">
        <f>+K312-K313-K314</f>
        <v>5308.043758186489</v>
      </c>
      <c r="L315" s="169">
        <f>+L312-L313-L314</f>
        <v>5594.2750093554641</v>
      </c>
      <c r="M315" s="170">
        <f t="shared" si="123"/>
        <v>105.39240564336959</v>
      </c>
      <c r="N315" s="8"/>
      <c r="O315" s="169">
        <f>+O312-O313-O314</f>
        <v>6447.7247700190583</v>
      </c>
      <c r="P315" s="169">
        <f>+P312-P313-P314</f>
        <v>6177.7640145193773</v>
      </c>
      <c r="Q315" s="169">
        <f>+Q312-Q313-Q314</f>
        <v>5869.2582083251655</v>
      </c>
      <c r="R315" s="169">
        <f t="shared" ref="R315:S315" si="124">+R312-R313-R314</f>
        <v>5594.2750093554641</v>
      </c>
      <c r="S315" s="169">
        <f t="shared" si="124"/>
        <v>5316.9110884401653</v>
      </c>
      <c r="T315" s="169"/>
      <c r="U315" s="1"/>
      <c r="V315" s="9"/>
      <c r="W315" s="155">
        <f t="shared" si="116"/>
        <v>115.25577057324401</v>
      </c>
      <c r="X315" s="155">
        <f t="shared" si="116"/>
        <v>110.43010942772975</v>
      </c>
      <c r="Y315" s="155">
        <f t="shared" si="116"/>
        <v>104.91543941815229</v>
      </c>
      <c r="Z315" s="155">
        <f t="shared" si="116"/>
        <v>100</v>
      </c>
      <c r="AA315" s="155">
        <f t="shared" si="116"/>
        <v>95.042004183715406</v>
      </c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Y315" s="38"/>
      <c r="AZ315" s="38"/>
      <c r="BC315" s="9"/>
      <c r="BD315" s="9"/>
      <c r="BE315" s="8"/>
      <c r="BF315" s="8"/>
      <c r="BG315" s="91"/>
      <c r="BH315" s="71"/>
      <c r="BI315" s="8"/>
      <c r="BJ315" s="8"/>
      <c r="BK315" s="8"/>
      <c r="BL315" s="8"/>
      <c r="BM315" s="8"/>
      <c r="BN315" s="8"/>
      <c r="BO315" s="8"/>
      <c r="BP315" s="8"/>
    </row>
    <row r="316" spans="1:68" s="5" customFormat="1" ht="11.25" customHeight="1" x14ac:dyDescent="0.2">
      <c r="A316" s="25"/>
      <c r="B316" s="25"/>
      <c r="C316" s="25"/>
      <c r="D316" s="25"/>
      <c r="H316" s="136" t="str">
        <f t="shared" si="112"/>
        <v>Hruške namizne</v>
      </c>
      <c r="I316" s="152" t="str">
        <f>+I$88</f>
        <v xml:space="preserve">Bruto dodana vrednost </v>
      </c>
      <c r="J316" s="165" t="str">
        <f>+J$88</f>
        <v>EUR/ha</v>
      </c>
      <c r="K316" s="171">
        <f>+K311-K313</f>
        <v>15627.783190482571</v>
      </c>
      <c r="L316" s="171">
        <f>+L311-L313</f>
        <v>21090.818099019176</v>
      </c>
      <c r="M316" s="172">
        <f t="shared" si="123"/>
        <v>134.95719669225787</v>
      </c>
      <c r="N316" s="8"/>
      <c r="O316" s="171">
        <f>+O311-O313</f>
        <v>35096.140308887174</v>
      </c>
      <c r="P316" s="171">
        <f>+P311-P313</f>
        <v>30219.94733526808</v>
      </c>
      <c r="Q316" s="171">
        <f>+Q311-Q313</f>
        <v>25614.489175638268</v>
      </c>
      <c r="R316" s="171">
        <f t="shared" ref="R316:S316" si="125">+R311-R313</f>
        <v>21090.818099019176</v>
      </c>
      <c r="S316" s="171">
        <f t="shared" si="125"/>
        <v>16759.728317900073</v>
      </c>
      <c r="T316" s="171"/>
      <c r="U316" s="1"/>
      <c r="V316" s="1"/>
      <c r="W316" s="156">
        <f t="shared" si="116"/>
        <v>166.40483144899588</v>
      </c>
      <c r="X316" s="156">
        <f t="shared" si="116"/>
        <v>143.28485122477755</v>
      </c>
      <c r="Y316" s="156">
        <f t="shared" si="116"/>
        <v>121.44853298426325</v>
      </c>
      <c r="Z316" s="156">
        <f t="shared" si="116"/>
        <v>100</v>
      </c>
      <c r="AA316" s="156">
        <f t="shared" si="116"/>
        <v>79.464571925161508</v>
      </c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Y316" s="38"/>
      <c r="AZ316" s="38"/>
      <c r="BC316" s="1"/>
      <c r="BD316" s="1"/>
      <c r="BE316" s="4"/>
      <c r="BF316" s="4"/>
      <c r="BG316" s="91"/>
      <c r="BH316" s="70"/>
      <c r="BI316" s="4"/>
      <c r="BJ316" s="4"/>
      <c r="BK316" s="4"/>
      <c r="BL316" s="4"/>
      <c r="BM316" s="4"/>
      <c r="BN316" s="4"/>
      <c r="BO316" s="4"/>
      <c r="BP316" s="4"/>
    </row>
    <row r="317" spans="1:68" s="5" customFormat="1" ht="11.25" customHeight="1" x14ac:dyDescent="0.2">
      <c r="A317" s="25"/>
      <c r="B317" s="25"/>
      <c r="C317" s="25"/>
      <c r="D317" s="25"/>
      <c r="H317" s="136" t="str">
        <f t="shared" si="112"/>
        <v>Hruške namizne</v>
      </c>
      <c r="I317" s="151" t="str">
        <f>+I$89</f>
        <v>Neto dodana vrednost</v>
      </c>
      <c r="J317" s="168" t="str">
        <f>+J$89</f>
        <v>EUR/ha</v>
      </c>
      <c r="K317" s="169">
        <f>+K316-K314</f>
        <v>12973.998383630598</v>
      </c>
      <c r="L317" s="169">
        <f>+L316-L314</f>
        <v>18257.770877453302</v>
      </c>
      <c r="M317" s="170">
        <f t="shared" si="123"/>
        <v>140.72586058349816</v>
      </c>
      <c r="N317" s="8"/>
      <c r="O317" s="169">
        <f>+O316-O314</f>
        <v>31944.094692979204</v>
      </c>
      <c r="P317" s="169">
        <f>+P316-P314</f>
        <v>27169.790037122941</v>
      </c>
      <c r="Q317" s="169">
        <f>+Q316-Q314</f>
        <v>22679.553636309563</v>
      </c>
      <c r="R317" s="169">
        <f t="shared" ref="R317:S317" si="126">+R316-R314</f>
        <v>18257.770877453302</v>
      </c>
      <c r="S317" s="169">
        <f t="shared" si="126"/>
        <v>14028.56941409703</v>
      </c>
      <c r="T317" s="169"/>
      <c r="U317" s="1"/>
      <c r="V317" s="9"/>
      <c r="W317" s="155">
        <f t="shared" si="116"/>
        <v>174.9616363760336</v>
      </c>
      <c r="X317" s="155">
        <f t="shared" si="116"/>
        <v>148.81219738974366</v>
      </c>
      <c r="Y317" s="155">
        <f t="shared" si="116"/>
        <v>124.21863429295612</v>
      </c>
      <c r="Z317" s="155">
        <f t="shared" si="116"/>
        <v>100</v>
      </c>
      <c r="AA317" s="155">
        <f t="shared" si="116"/>
        <v>76.836156550858277</v>
      </c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Y317" s="38"/>
      <c r="AZ317" s="38"/>
      <c r="BC317" s="9"/>
      <c r="BD317" s="9"/>
      <c r="BE317" s="8"/>
      <c r="BF317" s="8"/>
      <c r="BG317" s="91"/>
      <c r="BH317" s="71"/>
      <c r="BI317" s="8"/>
      <c r="BJ317" s="8"/>
      <c r="BK317" s="8"/>
      <c r="BL317" s="8"/>
      <c r="BM317" s="8"/>
      <c r="BN317" s="8"/>
      <c r="BO317" s="8"/>
      <c r="BP317" s="8"/>
    </row>
    <row r="318" spans="1:68" s="5" customFormat="1" ht="11.25" customHeight="1" x14ac:dyDescent="0.25">
      <c r="A318" s="25" t="s">
        <v>25</v>
      </c>
      <c r="B318" s="25" t="s">
        <v>24</v>
      </c>
      <c r="C318" s="25"/>
      <c r="D318" s="25"/>
      <c r="H318" s="136" t="str">
        <f t="shared" si="112"/>
        <v>Hruške namizne</v>
      </c>
      <c r="I318" s="152" t="str">
        <f>+I$90</f>
        <v>Neto dodana vrednost/uro</v>
      </c>
      <c r="J318" s="167" t="str">
        <f>+J$90</f>
        <v>EUR/uro</v>
      </c>
      <c r="K318" s="171">
        <v>34.615135655696264</v>
      </c>
      <c r="L318" s="171">
        <v>48.70464773161131</v>
      </c>
      <c r="M318" s="172">
        <f t="shared" si="123"/>
        <v>140.70332763117881</v>
      </c>
      <c r="N318" s="8"/>
      <c r="O318" s="171">
        <v>73.24619987901805</v>
      </c>
      <c r="P318" s="171">
        <v>65.23163571596011</v>
      </c>
      <c r="Q318" s="171">
        <v>57.493134025140527</v>
      </c>
      <c r="R318" s="171">
        <v>48.70464773161131</v>
      </c>
      <c r="S318" s="171">
        <v>39.488163721085684</v>
      </c>
      <c r="T318" s="171"/>
      <c r="U318" s="1"/>
      <c r="V318" s="1"/>
      <c r="W318" s="156">
        <f t="shared" si="116"/>
        <v>150.38852202082197</v>
      </c>
      <c r="X318" s="156">
        <f t="shared" si="116"/>
        <v>133.93308185991069</v>
      </c>
      <c r="Y318" s="156">
        <f t="shared" si="116"/>
        <v>118.04445099769222</v>
      </c>
      <c r="Z318" s="156">
        <f t="shared" si="116"/>
        <v>100</v>
      </c>
      <c r="AA318" s="156">
        <f t="shared" si="116"/>
        <v>81.076787452989322</v>
      </c>
      <c r="AB318" s="4"/>
      <c r="AC318" s="4"/>
      <c r="AD318" s="4"/>
      <c r="AE318" s="339" t="s">
        <v>228</v>
      </c>
      <c r="AF318" s="340"/>
      <c r="AG318" s="340"/>
      <c r="AH318" s="340"/>
      <c r="AI318" s="340"/>
      <c r="AJ318" s="340"/>
      <c r="AK318" s="340"/>
      <c r="AL318" s="340"/>
      <c r="AM318" s="340"/>
      <c r="AN318" s="1"/>
      <c r="AO318" s="1"/>
      <c r="AP318" s="1"/>
      <c r="AQ318" s="1"/>
      <c r="AR318" s="1"/>
      <c r="AS318" s="1"/>
      <c r="AT318" s="1"/>
      <c r="AU318" s="1"/>
      <c r="AY318" s="38"/>
      <c r="AZ318" s="38"/>
      <c r="BC318" s="1"/>
      <c r="BD318" s="19"/>
      <c r="BE318" s="41"/>
      <c r="BF318" s="41"/>
      <c r="BG318" s="91"/>
      <c r="BH318" s="70"/>
      <c r="BI318" s="41"/>
      <c r="BJ318" s="4"/>
      <c r="BK318" s="41"/>
      <c r="BL318" s="41"/>
      <c r="BM318" s="41"/>
      <c r="BN318" s="41"/>
      <c r="BO318" s="41"/>
      <c r="BP318" s="4"/>
    </row>
    <row r="319" spans="1:68" s="5" customFormat="1" ht="11.25" customHeight="1" x14ac:dyDescent="0.25">
      <c r="A319" s="37" t="s">
        <v>67</v>
      </c>
      <c r="B319" s="25"/>
      <c r="C319" s="25"/>
      <c r="D319" s="25"/>
      <c r="H319" s="136" t="str">
        <f t="shared" si="112"/>
        <v>Hruške namizne</v>
      </c>
      <c r="I319" s="1"/>
      <c r="J319" s="19"/>
      <c r="K319" s="35">
        <v>0</v>
      </c>
      <c r="L319" s="35">
        <v>0</v>
      </c>
      <c r="M319" s="36"/>
      <c r="N319" s="36"/>
      <c r="O319" s="35">
        <v>0</v>
      </c>
      <c r="P319" s="35">
        <v>0</v>
      </c>
      <c r="Q319" s="35">
        <v>0</v>
      </c>
      <c r="R319" s="35"/>
      <c r="S319" s="35"/>
      <c r="T319" s="35"/>
      <c r="U319" s="35"/>
      <c r="V319" s="1"/>
      <c r="W319" s="4"/>
      <c r="X319" s="4"/>
      <c r="Y319" s="4"/>
      <c r="Z319" s="4"/>
      <c r="AA319" s="4"/>
      <c r="AB319" s="4"/>
      <c r="AC319" s="4"/>
      <c r="AD319" s="4"/>
      <c r="AE319" s="192" t="str">
        <f>AF$10&amp;""&amp;$L$56</f>
        <v>prva ocena letine 2021</v>
      </c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BC319" s="1"/>
      <c r="BD319" s="19"/>
      <c r="BE319" s="35"/>
      <c r="BF319" s="35"/>
      <c r="BG319" s="91"/>
      <c r="BH319" s="35"/>
      <c r="BI319" s="36"/>
      <c r="BJ319" s="36"/>
      <c r="BK319" s="35"/>
      <c r="BL319" s="35"/>
      <c r="BM319" s="35"/>
      <c r="BN319" s="35"/>
      <c r="BO319" s="35"/>
      <c r="BP319" s="4"/>
    </row>
    <row r="320" spans="1:68" s="5" customFormat="1" ht="10.199999999999999" x14ac:dyDescent="0.2">
      <c r="A320" s="25"/>
      <c r="B320" s="25"/>
      <c r="C320" s="25"/>
      <c r="D320" s="25"/>
      <c r="F320" s="29"/>
      <c r="G320" s="29"/>
      <c r="H320" s="136" t="str">
        <f>+I322</f>
        <v>Breskve namizne</v>
      </c>
      <c r="I320" s="141" t="s">
        <v>148</v>
      </c>
      <c r="J320" s="140"/>
      <c r="K320" s="140"/>
      <c r="L320" s="140"/>
      <c r="M320" s="140"/>
      <c r="N320" s="140"/>
      <c r="O320" s="140"/>
      <c r="P320" s="140"/>
      <c r="Q320" s="140"/>
      <c r="R320" s="140"/>
      <c r="S320" s="140"/>
      <c r="T320" s="140"/>
      <c r="U320" s="140"/>
      <c r="V320" s="140"/>
      <c r="W320" s="140"/>
      <c r="X320" s="140"/>
      <c r="Y320" s="140"/>
      <c r="Z320" s="140"/>
      <c r="AA320" s="140"/>
      <c r="AB320" s="140"/>
      <c r="AC320" s="140"/>
      <c r="AD320" s="140"/>
      <c r="AE320" s="140"/>
      <c r="AF320" s="140"/>
      <c r="AG320" s="140"/>
      <c r="AH320" s="140"/>
      <c r="AI320" s="140"/>
      <c r="AJ320" s="140"/>
      <c r="AK320" s="140"/>
      <c r="AL320" s="140"/>
      <c r="AM320" s="140"/>
      <c r="AN320" s="1"/>
      <c r="AO320" s="1"/>
      <c r="AP320" s="1"/>
      <c r="AQ320" s="1"/>
      <c r="AR320" s="1"/>
      <c r="AS320" s="1"/>
      <c r="AT320" s="1"/>
      <c r="AU320" s="1"/>
      <c r="BC320" s="13"/>
      <c r="BD320" s="27"/>
      <c r="BE320" s="29"/>
      <c r="BF320" s="29"/>
      <c r="BG320" s="91"/>
      <c r="BH320" s="28"/>
      <c r="BI320" s="27"/>
      <c r="BJ320" s="29"/>
      <c r="BK320" s="29"/>
      <c r="BL320" s="29"/>
      <c r="BM320" s="29"/>
      <c r="BN320" s="29"/>
      <c r="BO320" s="27"/>
      <c r="BP320" s="27"/>
    </row>
    <row r="321" spans="1:68" s="5" customFormat="1" ht="10.199999999999999" x14ac:dyDescent="0.2">
      <c r="A321" s="25"/>
      <c r="B321" s="25"/>
      <c r="C321" s="25"/>
      <c r="D321" s="25"/>
      <c r="H321" s="136" t="str">
        <f>+H320</f>
        <v>Breskve namizne</v>
      </c>
      <c r="I321" s="141" t="s">
        <v>149</v>
      </c>
      <c r="J321" s="140"/>
      <c r="K321" s="140" t="str">
        <f>+F322</f>
        <v>breskve</v>
      </c>
      <c r="L321" s="140" t="str">
        <f>+K321</f>
        <v>breskve</v>
      </c>
      <c r="M321" s="140"/>
      <c r="N321" s="140"/>
      <c r="O321" s="143" t="s">
        <v>135</v>
      </c>
      <c r="P321" s="143" t="s">
        <v>211</v>
      </c>
      <c r="Q321" s="143" t="s">
        <v>134</v>
      </c>
      <c r="R321" s="143" t="s">
        <v>212</v>
      </c>
      <c r="S321" s="143" t="s">
        <v>213</v>
      </c>
      <c r="T321" s="140"/>
      <c r="U321" s="140"/>
      <c r="V321" s="140"/>
      <c r="W321" s="140"/>
      <c r="X321" s="140"/>
      <c r="Y321" s="140"/>
      <c r="Z321" s="140"/>
      <c r="AA321" s="140"/>
      <c r="AB321" s="140"/>
      <c r="AC321" s="140"/>
      <c r="AD321" s="140"/>
      <c r="AE321" s="140"/>
      <c r="AF321" s="140"/>
      <c r="AG321" s="140"/>
      <c r="AH321" s="140"/>
      <c r="AI321" s="140"/>
      <c r="AJ321" s="140"/>
      <c r="AK321" s="140"/>
      <c r="AL321" s="140"/>
      <c r="AM321" s="140"/>
      <c r="AN321" s="1"/>
      <c r="AO321" s="1"/>
      <c r="AP321" s="1"/>
      <c r="AQ321" s="1"/>
      <c r="AR321" s="1"/>
      <c r="AS321" s="1"/>
      <c r="AT321" s="1"/>
      <c r="AU321" s="1"/>
      <c r="BC321" s="13"/>
      <c r="BD321" s="29"/>
      <c r="BE321" s="12"/>
      <c r="BF321" s="12"/>
      <c r="BG321" s="91"/>
      <c r="BH321" s="68"/>
      <c r="BI321" s="68"/>
      <c r="BJ321" s="68"/>
      <c r="BK321" s="12"/>
      <c r="BL321" s="12"/>
      <c r="BM321" s="12"/>
      <c r="BN321" s="29"/>
      <c r="BO321" s="29"/>
      <c r="BP321" s="29"/>
    </row>
    <row r="322" spans="1:68" s="5" customFormat="1" ht="12" customHeight="1" x14ac:dyDescent="0.25">
      <c r="A322" s="25"/>
      <c r="B322" s="25"/>
      <c r="C322" s="25"/>
      <c r="D322" s="25"/>
      <c r="F322" s="5" t="s">
        <v>122</v>
      </c>
      <c r="H322" s="136" t="str">
        <f>+H321</f>
        <v>Breskve namizne</v>
      </c>
      <c r="I322" s="149" t="s">
        <v>267</v>
      </c>
      <c r="J322" s="158"/>
      <c r="K322" s="185">
        <f>K$52</f>
        <v>2020</v>
      </c>
      <c r="L322" s="185">
        <f>+L$56</f>
        <v>2021</v>
      </c>
      <c r="M322" s="341" t="str">
        <f>"Indeks "&amp;L322&amp;"/"&amp;$K322</f>
        <v>Indeks 2021/2020</v>
      </c>
      <c r="N322" s="186"/>
      <c r="O322" s="179"/>
      <c r="P322" s="179"/>
      <c r="Q322" s="179" t="str">
        <f>+L322&amp;" "&amp;L$51</f>
        <v>2021 (prva ocena)</v>
      </c>
      <c r="R322" s="179"/>
      <c r="S322" s="179"/>
      <c r="T322" s="179"/>
      <c r="U322" s="142"/>
      <c r="V322" s="142"/>
      <c r="W322" s="179"/>
      <c r="X322" s="179"/>
      <c r="Y322" s="179" t="s">
        <v>160</v>
      </c>
      <c r="Z322" s="179"/>
      <c r="AA322" s="179"/>
      <c r="AB322" s="179"/>
      <c r="AC322" s="66"/>
      <c r="AD322" s="66"/>
      <c r="AE322" s="66"/>
      <c r="AF322" s="66"/>
      <c r="AG322" s="66"/>
      <c r="AH322" s="66"/>
      <c r="AI322" s="66"/>
      <c r="AJ322" s="66"/>
      <c r="AK322" s="66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BC322" s="103"/>
      <c r="BD322" s="1"/>
      <c r="BE322" s="66"/>
      <c r="BF322" s="66"/>
      <c r="BG322" s="91"/>
      <c r="BH322" s="34"/>
      <c r="BI322" s="67"/>
      <c r="BJ322" s="34"/>
      <c r="BK322" s="66"/>
      <c r="BL322" s="66"/>
      <c r="BM322" s="66"/>
      <c r="BN322" s="66"/>
      <c r="BO322" s="66"/>
      <c r="BP322" s="66"/>
    </row>
    <row r="323" spans="1:68" s="5" customFormat="1" ht="12" x14ac:dyDescent="0.25">
      <c r="A323" s="25"/>
      <c r="B323" s="25"/>
      <c r="C323" s="25"/>
      <c r="D323" s="25"/>
      <c r="H323" s="136" t="str">
        <f>+H322</f>
        <v>Breskve namizne</v>
      </c>
      <c r="I323" s="150" t="s">
        <v>84</v>
      </c>
      <c r="J323" s="158"/>
      <c r="K323" s="185"/>
      <c r="L323" s="330" t="str">
        <f>IF(ISBLANK(L$51),"",L$51)</f>
        <v>(prva ocena)</v>
      </c>
      <c r="M323" s="342"/>
      <c r="N323" s="186"/>
      <c r="O323" s="187" t="s">
        <v>83</v>
      </c>
      <c r="P323" s="185" t="s">
        <v>82</v>
      </c>
      <c r="Q323" s="214" t="s">
        <v>81</v>
      </c>
      <c r="R323" s="185" t="s">
        <v>80</v>
      </c>
      <c r="S323" s="185" t="s">
        <v>79</v>
      </c>
      <c r="T323" s="205"/>
      <c r="U323" s="191"/>
      <c r="V323" s="191"/>
      <c r="W323" s="188" t="str">
        <f>O323</f>
        <v>M 1</v>
      </c>
      <c r="X323" s="185" t="str">
        <f t="shared" ref="X323:AA323" si="127">P323</f>
        <v>M 2</v>
      </c>
      <c r="Y323" s="214" t="str">
        <f t="shared" si="127"/>
        <v>M 3</v>
      </c>
      <c r="Z323" s="185" t="str">
        <f t="shared" si="127"/>
        <v>M 4</v>
      </c>
      <c r="AA323" s="185" t="str">
        <f t="shared" si="127"/>
        <v>M 5</v>
      </c>
      <c r="AB323" s="188"/>
      <c r="AC323" s="66"/>
      <c r="AD323" s="66"/>
      <c r="AE323" s="66"/>
      <c r="AF323" s="66"/>
      <c r="AG323" s="66"/>
      <c r="AH323" s="66"/>
      <c r="AI323" s="66"/>
      <c r="AJ323" s="66"/>
      <c r="AK323" s="66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BC323" s="9"/>
      <c r="BD323" s="9"/>
      <c r="BE323" s="66"/>
      <c r="BF323" s="66"/>
      <c r="BG323" s="91"/>
      <c r="BH323" s="34"/>
      <c r="BI323" s="66"/>
      <c r="BJ323" s="66"/>
      <c r="BK323" s="66"/>
      <c r="BL323" s="66"/>
      <c r="BM323" s="66"/>
      <c r="BN323" s="66"/>
      <c r="BO323" s="66"/>
      <c r="BP323" s="66"/>
    </row>
    <row r="324" spans="1:68" s="5" customFormat="1" ht="10.199999999999999" x14ac:dyDescent="0.2">
      <c r="A324" s="25" t="s">
        <v>22</v>
      </c>
      <c r="B324" s="25"/>
      <c r="C324" s="25"/>
      <c r="D324" s="25"/>
      <c r="H324" s="136" t="str">
        <f>+H323</f>
        <v>Breskve namizne</v>
      </c>
      <c r="I324" s="9" t="s">
        <v>21</v>
      </c>
      <c r="J324" s="159" t="s">
        <v>20</v>
      </c>
      <c r="K324" s="160">
        <v>20000</v>
      </c>
      <c r="L324" s="160">
        <v>20000</v>
      </c>
      <c r="M324" s="160"/>
      <c r="N324" s="78"/>
      <c r="O324" s="178">
        <v>30000</v>
      </c>
      <c r="P324" s="178">
        <v>25000</v>
      </c>
      <c r="Q324" s="178">
        <v>20000</v>
      </c>
      <c r="R324" s="178">
        <v>15000</v>
      </c>
      <c r="S324" s="178">
        <v>30000</v>
      </c>
      <c r="T324" s="178"/>
      <c r="U324" s="219"/>
      <c r="V324" s="219"/>
      <c r="W324" s="62">
        <f>O324/$Q324*100</f>
        <v>150</v>
      </c>
      <c r="X324" s="62">
        <f t="shared" ref="X324:AA339" si="128">P324/$Q324*100</f>
        <v>125</v>
      </c>
      <c r="Y324" s="62">
        <f t="shared" si="128"/>
        <v>100</v>
      </c>
      <c r="Z324" s="62">
        <f t="shared" si="128"/>
        <v>75</v>
      </c>
      <c r="AA324" s="62">
        <f t="shared" si="128"/>
        <v>150</v>
      </c>
      <c r="AB324" s="62"/>
      <c r="AC324" s="82"/>
      <c r="AD324" s="82"/>
      <c r="AE324" s="82"/>
      <c r="AF324" s="82"/>
      <c r="AG324" s="82"/>
      <c r="AH324" s="82"/>
      <c r="AI324" s="82"/>
      <c r="AJ324" s="82"/>
      <c r="AK324" s="82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BC324" s="9"/>
      <c r="BD324" s="9"/>
      <c r="BE324" s="11"/>
      <c r="BF324" s="11"/>
      <c r="BG324" s="91"/>
      <c r="BH324" s="80"/>
      <c r="BI324" s="78"/>
      <c r="BJ324" s="78"/>
      <c r="BK324" s="11"/>
      <c r="BL324" s="11"/>
      <c r="BM324" s="11"/>
      <c r="BN324" s="11"/>
      <c r="BO324" s="78"/>
      <c r="BP324" s="66"/>
    </row>
    <row r="325" spans="1:68" s="5" customFormat="1" x14ac:dyDescent="0.25">
      <c r="A325" s="60" t="s">
        <v>199</v>
      </c>
      <c r="B325" s="25"/>
      <c r="C325" s="25"/>
      <c r="D325" s="25"/>
      <c r="H325" s="136" t="str">
        <f t="shared" ref="H325:H357" si="129">+H324</f>
        <v>Breskve namizne</v>
      </c>
      <c r="I325" s="9" t="s">
        <v>207</v>
      </c>
      <c r="J325" s="159" t="s">
        <v>206</v>
      </c>
      <c r="K325" s="160">
        <v>1250</v>
      </c>
      <c r="L325" s="160">
        <v>1250</v>
      </c>
      <c r="M325" s="160"/>
      <c r="N325" s="78"/>
      <c r="O325" s="222">
        <v>1250</v>
      </c>
      <c r="P325" s="222">
        <v>1250</v>
      </c>
      <c r="Q325" s="222">
        <v>1250</v>
      </c>
      <c r="R325" s="222">
        <v>1250</v>
      </c>
      <c r="S325" s="222">
        <v>1250</v>
      </c>
      <c r="T325" s="161"/>
      <c r="U325" s="9"/>
      <c r="V325" s="9"/>
      <c r="W325" s="62">
        <f t="shared" ref="W325:AA356" si="130">O325/$Q325*100</f>
        <v>100</v>
      </c>
      <c r="X325" s="62">
        <f t="shared" si="128"/>
        <v>100</v>
      </c>
      <c r="Y325" s="62">
        <f t="shared" si="128"/>
        <v>100</v>
      </c>
      <c r="Z325" s="62">
        <f t="shared" si="128"/>
        <v>100</v>
      </c>
      <c r="AA325" s="62">
        <f t="shared" si="128"/>
        <v>100</v>
      </c>
      <c r="AB325" s="82"/>
      <c r="AC325" s="82"/>
      <c r="AD325" s="82"/>
      <c r="AE325" s="82"/>
      <c r="AF325" s="82"/>
      <c r="AG325" s="82"/>
      <c r="AH325" s="82"/>
      <c r="AI325" s="82"/>
      <c r="AJ325" s="82"/>
      <c r="AK325" s="82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BC325" s="9"/>
      <c r="BD325" s="9"/>
      <c r="BE325" s="11"/>
      <c r="BF325" s="11"/>
      <c r="BG325" s="91"/>
      <c r="BH325" s="80"/>
      <c r="BI325" s="78"/>
      <c r="BJ325" s="78"/>
      <c r="BK325" s="11"/>
      <c r="BL325" s="11"/>
      <c r="BM325" s="11"/>
      <c r="BN325" s="11"/>
      <c r="BO325" s="78"/>
      <c r="BP325" s="66"/>
    </row>
    <row r="326" spans="1:68" s="5" customFormat="1" ht="6" customHeight="1" x14ac:dyDescent="0.2">
      <c r="A326" s="25"/>
      <c r="B326" s="25"/>
      <c r="C326" s="25"/>
      <c r="D326" s="25"/>
      <c r="H326" s="136" t="str">
        <f t="shared" si="129"/>
        <v>Breskve namizne</v>
      </c>
      <c r="I326" s="9"/>
      <c r="J326" s="162"/>
      <c r="K326" s="161"/>
      <c r="L326" s="161"/>
      <c r="M326" s="161"/>
      <c r="N326" s="137"/>
      <c r="O326" s="161"/>
      <c r="P326" s="161"/>
      <c r="Q326" s="161"/>
      <c r="R326" s="161"/>
      <c r="S326" s="161"/>
      <c r="T326" s="161"/>
      <c r="U326" s="1"/>
      <c r="V326" s="1"/>
      <c r="W326" s="62"/>
      <c r="X326" s="62"/>
      <c r="Y326" s="62"/>
      <c r="Z326" s="62"/>
      <c r="AA326" s="62"/>
      <c r="AB326" s="84"/>
      <c r="AC326" s="82"/>
      <c r="AD326" s="82"/>
      <c r="AE326" s="82"/>
      <c r="AF326" s="82"/>
      <c r="AG326" s="82"/>
      <c r="AH326" s="82"/>
      <c r="AI326" s="82"/>
      <c r="AJ326" s="82"/>
      <c r="AK326" s="82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BC326" s="9"/>
      <c r="BD326" s="9"/>
      <c r="BE326" s="78"/>
      <c r="BF326" s="78"/>
      <c r="BG326" s="91"/>
      <c r="BH326" s="80"/>
      <c r="BI326" s="78"/>
      <c r="BJ326" s="78"/>
      <c r="BK326" s="78"/>
      <c r="BL326" s="78"/>
      <c r="BM326" s="78"/>
      <c r="BN326" s="78"/>
      <c r="BO326" s="78"/>
      <c r="BP326" s="66"/>
    </row>
    <row r="327" spans="1:68" s="5" customFormat="1" ht="6" customHeight="1" x14ac:dyDescent="0.2">
      <c r="A327" s="25"/>
      <c r="B327" s="25"/>
      <c r="C327" s="25"/>
      <c r="D327" s="25"/>
      <c r="H327" s="136" t="str">
        <f t="shared" si="129"/>
        <v>Breskve namizne</v>
      </c>
      <c r="I327" s="9"/>
      <c r="J327" s="159"/>
      <c r="K327" s="163"/>
      <c r="L327" s="163"/>
      <c r="M327" s="164"/>
      <c r="N327" s="8"/>
      <c r="O327" s="177"/>
      <c r="P327" s="177"/>
      <c r="Q327" s="177"/>
      <c r="R327" s="177"/>
      <c r="S327" s="177"/>
      <c r="T327" s="177"/>
      <c r="U327" s="1"/>
      <c r="V327" s="1"/>
      <c r="W327" s="62"/>
      <c r="X327" s="62"/>
      <c r="Y327" s="62"/>
      <c r="Z327" s="62"/>
      <c r="AA327" s="62"/>
      <c r="AB327" s="84"/>
      <c r="AC327" s="26"/>
      <c r="AD327" s="26"/>
      <c r="AE327" s="26"/>
      <c r="AF327" s="26"/>
      <c r="AG327" s="26"/>
      <c r="AH327" s="26"/>
      <c r="AI327" s="26"/>
      <c r="AJ327" s="26"/>
      <c r="AK327" s="26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BC327" s="9"/>
      <c r="BD327" s="9"/>
      <c r="BE327" s="87"/>
      <c r="BF327" s="87"/>
      <c r="BG327" s="91"/>
      <c r="BH327" s="88"/>
      <c r="BI327" s="66"/>
      <c r="BJ327" s="66"/>
      <c r="BK327" s="87"/>
      <c r="BL327" s="87"/>
      <c r="BM327" s="87"/>
      <c r="BN327" s="87"/>
      <c r="BO327" s="87"/>
      <c r="BP327" s="31"/>
    </row>
    <row r="328" spans="1:68" s="5" customFormat="1" ht="11.25" customHeight="1" x14ac:dyDescent="0.2">
      <c r="A328" s="25"/>
      <c r="B328" s="25"/>
      <c r="C328" s="25"/>
      <c r="D328" s="25"/>
      <c r="H328" s="136" t="str">
        <f t="shared" si="129"/>
        <v>Breskve namizne</v>
      </c>
      <c r="I328" s="151" t="str">
        <f>+I$62</f>
        <v>IZVLEČEK ANALITIČNE KALKULACIJE</v>
      </c>
      <c r="J328" s="165"/>
      <c r="K328" s="166"/>
      <c r="L328" s="166"/>
      <c r="M328" s="167"/>
      <c r="N328" s="1"/>
      <c r="O328" s="166"/>
      <c r="P328" s="166"/>
      <c r="Q328" s="166"/>
      <c r="R328" s="166"/>
      <c r="S328" s="166"/>
      <c r="T328" s="166"/>
      <c r="U328" s="1"/>
      <c r="V328" s="1"/>
      <c r="W328" s="154"/>
      <c r="X328" s="154"/>
      <c r="Y328" s="154"/>
      <c r="Z328" s="154"/>
      <c r="AA328" s="154"/>
      <c r="AB328" s="76"/>
      <c r="AC328" s="76"/>
      <c r="AD328" s="76"/>
      <c r="AE328" s="76"/>
      <c r="AF328" s="76"/>
      <c r="AG328" s="76"/>
      <c r="AH328" s="76"/>
      <c r="AI328" s="76"/>
      <c r="AJ328" s="76"/>
      <c r="AK328" s="76"/>
      <c r="AL328" s="1"/>
      <c r="AM328" s="9"/>
      <c r="AN328" s="1"/>
      <c r="AO328" s="1"/>
      <c r="AP328" s="1"/>
      <c r="AQ328" s="1"/>
      <c r="AR328" s="1"/>
      <c r="AS328" s="1"/>
      <c r="AT328" s="1"/>
      <c r="AU328" s="1"/>
      <c r="BC328" s="9"/>
      <c r="BD328" s="1"/>
      <c r="BE328" s="77"/>
      <c r="BF328" s="77"/>
      <c r="BG328" s="91"/>
      <c r="BH328" s="24"/>
      <c r="BI328" s="1"/>
      <c r="BJ328" s="1"/>
      <c r="BK328" s="77"/>
      <c r="BL328" s="77"/>
      <c r="BM328" s="77"/>
      <c r="BN328" s="77"/>
      <c r="BO328" s="77"/>
      <c r="BP328" s="76"/>
    </row>
    <row r="329" spans="1:68" s="5" customFormat="1" ht="11.25" customHeight="1" x14ac:dyDescent="0.2">
      <c r="A329" s="25"/>
      <c r="B329" s="25"/>
      <c r="C329" s="25"/>
      <c r="D329" s="25"/>
      <c r="H329" s="136" t="str">
        <f t="shared" si="129"/>
        <v>Breskve namizne</v>
      </c>
      <c r="I329" s="151" t="str">
        <f>+I$63</f>
        <v>Stroški blaga in storitev</v>
      </c>
      <c r="J329" s="168" t="str">
        <f>+J$63</f>
        <v>EUR/ha</v>
      </c>
      <c r="K329" s="169">
        <f>+K339-K337-K336</f>
        <v>8087.0594664740947</v>
      </c>
      <c r="L329" s="169">
        <f>+L339-L337-L336</f>
        <v>8563.1237127970235</v>
      </c>
      <c r="M329" s="170">
        <f>L329/K329*100</f>
        <v>105.88674101255855</v>
      </c>
      <c r="N329" s="8"/>
      <c r="O329" s="169">
        <f>+O339-O337-O336</f>
        <v>11260.884460820991</v>
      </c>
      <c r="P329" s="169">
        <f t="shared" ref="P329:S329" si="131">+P339-P337-P336</f>
        <v>9933.578265913522</v>
      </c>
      <c r="Q329" s="169">
        <f t="shared" si="131"/>
        <v>8563.1237127970235</v>
      </c>
      <c r="R329" s="169">
        <f t="shared" si="131"/>
        <v>7123.9092551116892</v>
      </c>
      <c r="S329" s="169">
        <f t="shared" si="131"/>
        <v>6715.429348510771</v>
      </c>
      <c r="T329" s="169"/>
      <c r="U329" s="1"/>
      <c r="V329" s="9"/>
      <c r="W329" s="155">
        <f t="shared" si="130"/>
        <v>131.50440001225655</v>
      </c>
      <c r="X329" s="155">
        <f t="shared" si="128"/>
        <v>116.00414286983201</v>
      </c>
      <c r="Y329" s="155">
        <f t="shared" si="128"/>
        <v>100</v>
      </c>
      <c r="Z329" s="155">
        <f t="shared" si="128"/>
        <v>83.192880239082342</v>
      </c>
      <c r="AA329" s="155">
        <f t="shared" si="128"/>
        <v>78.422659460997906</v>
      </c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9"/>
      <c r="AM329" s="1"/>
      <c r="AN329" s="1"/>
      <c r="AO329" s="1"/>
      <c r="AP329" s="1"/>
      <c r="AQ329" s="1"/>
      <c r="AR329" s="1"/>
      <c r="AS329" s="1"/>
      <c r="AT329" s="1"/>
      <c r="AU329" s="1"/>
      <c r="AY329" s="38"/>
      <c r="AZ329" s="38"/>
      <c r="BC329" s="9"/>
      <c r="BD329" s="9"/>
      <c r="BE329" s="18"/>
      <c r="BF329" s="18"/>
      <c r="BG329" s="91"/>
      <c r="BH329" s="18"/>
      <c r="BI329" s="18"/>
      <c r="BJ329" s="18"/>
      <c r="BK329" s="18"/>
      <c r="BL329" s="18"/>
      <c r="BM329" s="18"/>
      <c r="BN329" s="18"/>
      <c r="BO329" s="18"/>
      <c r="BP329" s="8"/>
    </row>
    <row r="330" spans="1:68" s="5" customFormat="1" ht="11.25" customHeight="1" x14ac:dyDescent="0.2">
      <c r="A330" s="25" t="s">
        <v>19</v>
      </c>
      <c r="B330" s="25"/>
      <c r="C330" s="25"/>
      <c r="D330" s="25"/>
      <c r="H330" s="136" t="str">
        <f t="shared" si="129"/>
        <v>Breskve namizne</v>
      </c>
      <c r="I330" s="152" t="str">
        <f>+I$64</f>
        <v xml:space="preserve">  Od tega: seme</v>
      </c>
      <c r="J330" s="165" t="str">
        <f>+J$64</f>
        <v>EUR/ha</v>
      </c>
      <c r="K330" s="171">
        <v>0</v>
      </c>
      <c r="L330" s="171">
        <v>0</v>
      </c>
      <c r="M330" s="172"/>
      <c r="N330" s="8"/>
      <c r="O330" s="171">
        <v>0</v>
      </c>
      <c r="P330" s="171">
        <v>0</v>
      </c>
      <c r="Q330" s="171">
        <v>0</v>
      </c>
      <c r="R330" s="171">
        <v>0</v>
      </c>
      <c r="S330" s="171">
        <v>0</v>
      </c>
      <c r="T330" s="171"/>
      <c r="U330" s="1"/>
      <c r="V330" s="1"/>
      <c r="W330" s="156"/>
      <c r="X330" s="156"/>
      <c r="Y330" s="156"/>
      <c r="Z330" s="156"/>
      <c r="AA330" s="156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Y330" s="38"/>
      <c r="AZ330" s="38"/>
      <c r="BC330" s="1"/>
      <c r="BD330" s="1"/>
      <c r="BE330" s="7"/>
      <c r="BF330" s="7"/>
      <c r="BG330" s="91"/>
      <c r="BH330" s="70"/>
      <c r="BI330" s="7"/>
      <c r="BJ330" s="4"/>
      <c r="BK330" s="7"/>
      <c r="BL330" s="7"/>
      <c r="BM330" s="7"/>
      <c r="BN330" s="7"/>
      <c r="BO330" s="7"/>
      <c r="BP330" s="4"/>
    </row>
    <row r="331" spans="1:68" s="5" customFormat="1" ht="11.25" customHeight="1" x14ac:dyDescent="0.2">
      <c r="A331" s="25" t="s">
        <v>18</v>
      </c>
      <c r="B331" s="25" t="s">
        <v>17</v>
      </c>
      <c r="C331" s="25"/>
      <c r="D331" s="25"/>
      <c r="H331" s="136" t="str">
        <f t="shared" si="129"/>
        <v>Breskve namizne</v>
      </c>
      <c r="I331" s="152" t="str">
        <f>+I$65</f>
        <v xml:space="preserve">                 gnojila</v>
      </c>
      <c r="J331" s="165" t="str">
        <f>+J$65</f>
        <v>EUR/ha</v>
      </c>
      <c r="K331" s="171">
        <v>122.51671274986285</v>
      </c>
      <c r="L331" s="171">
        <v>125.17467401971268</v>
      </c>
      <c r="M331" s="172">
        <f t="shared" ref="M331:M339" si="132">L331/K331*100</f>
        <v>102.16946832002951</v>
      </c>
      <c r="N331" s="8"/>
      <c r="O331" s="171">
        <v>188.96501568660909</v>
      </c>
      <c r="P331" s="171">
        <v>157.06984485316087</v>
      </c>
      <c r="Q331" s="171">
        <v>125.17467401971268</v>
      </c>
      <c r="R331" s="171">
        <v>93.279503186264506</v>
      </c>
      <c r="S331" s="171">
        <v>188.96501568660909</v>
      </c>
      <c r="T331" s="171"/>
      <c r="U331" s="1"/>
      <c r="V331" s="1"/>
      <c r="W331" s="156">
        <f t="shared" si="130"/>
        <v>150.96106074688129</v>
      </c>
      <c r="X331" s="156">
        <f t="shared" si="128"/>
        <v>125.48053037344063</v>
      </c>
      <c r="Y331" s="156">
        <f t="shared" si="128"/>
        <v>100</v>
      </c>
      <c r="Z331" s="156">
        <f t="shared" si="128"/>
        <v>74.519469626559371</v>
      </c>
      <c r="AA331" s="156">
        <f t="shared" si="128"/>
        <v>150.96106074688129</v>
      </c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Y331" s="38"/>
      <c r="AZ331" s="38"/>
      <c r="BC331" s="1"/>
      <c r="BD331" s="1"/>
      <c r="BE331" s="7"/>
      <c r="BF331" s="7"/>
      <c r="BG331" s="91"/>
      <c r="BH331" s="70"/>
      <c r="BI331" s="7"/>
      <c r="BJ331" s="4"/>
      <c r="BK331" s="7"/>
      <c r="BL331" s="7"/>
      <c r="BM331" s="7"/>
      <c r="BN331" s="7"/>
      <c r="BO331" s="7"/>
      <c r="BP331" s="4"/>
    </row>
    <row r="332" spans="1:68" s="5" customFormat="1" ht="11.25" customHeight="1" x14ac:dyDescent="0.2">
      <c r="A332" s="25" t="s">
        <v>16</v>
      </c>
      <c r="B332" s="25"/>
      <c r="C332" s="25"/>
      <c r="D332" s="25"/>
      <c r="H332" s="136" t="str">
        <f t="shared" si="129"/>
        <v>Breskve namizne</v>
      </c>
      <c r="I332" s="152" t="str">
        <f>+I$66</f>
        <v xml:space="preserve">                 sredstva za varstvo</v>
      </c>
      <c r="J332" s="165" t="str">
        <f>+J$66</f>
        <v>EUR/ha</v>
      </c>
      <c r="K332" s="171">
        <v>1020.7460280000001</v>
      </c>
      <c r="L332" s="171">
        <v>1020.483242</v>
      </c>
      <c r="M332" s="172">
        <f t="shared" si="132"/>
        <v>99.974255496196747</v>
      </c>
      <c r="N332" s="8"/>
      <c r="O332" s="171">
        <v>1061.683082</v>
      </c>
      <c r="P332" s="171">
        <v>1020.483242</v>
      </c>
      <c r="Q332" s="171">
        <v>1020.483242</v>
      </c>
      <c r="R332" s="171">
        <v>870.02809100000002</v>
      </c>
      <c r="S332" s="171">
        <v>694.21502600000008</v>
      </c>
      <c r="T332" s="171"/>
      <c r="U332" s="1"/>
      <c r="V332" s="1"/>
      <c r="W332" s="156">
        <f t="shared" si="130"/>
        <v>104.03728726786872</v>
      </c>
      <c r="X332" s="156">
        <f t="shared" si="128"/>
        <v>100</v>
      </c>
      <c r="Y332" s="156">
        <f t="shared" si="128"/>
        <v>100</v>
      </c>
      <c r="Z332" s="156">
        <f t="shared" si="128"/>
        <v>85.256479988330852</v>
      </c>
      <c r="AA332" s="156">
        <f t="shared" si="128"/>
        <v>68.02806723601249</v>
      </c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Y332" s="38"/>
      <c r="AZ332" s="38"/>
      <c r="BC332" s="1"/>
      <c r="BD332" s="1"/>
      <c r="BE332" s="7"/>
      <c r="BF332" s="7"/>
      <c r="BG332" s="91"/>
      <c r="BH332" s="70"/>
      <c r="BI332" s="7"/>
      <c r="BJ332" s="4"/>
      <c r="BK332" s="7"/>
      <c r="BL332" s="7"/>
      <c r="BM332" s="7"/>
      <c r="BN332" s="7"/>
      <c r="BO332" s="7"/>
      <c r="BP332" s="4"/>
    </row>
    <row r="333" spans="1:68" s="5" customFormat="1" ht="11.25" customHeight="1" x14ac:dyDescent="0.2">
      <c r="A333" s="25" t="s">
        <v>15</v>
      </c>
      <c r="B333" s="25" t="s">
        <v>14</v>
      </c>
      <c r="C333" s="25" t="s">
        <v>13</v>
      </c>
      <c r="D333" s="25"/>
      <c r="H333" s="136" t="str">
        <f t="shared" si="129"/>
        <v>Breskve namizne</v>
      </c>
      <c r="I333" s="152" t="str">
        <f>+I$67</f>
        <v xml:space="preserve">                 najete storitve</v>
      </c>
      <c r="J333" s="165" t="str">
        <f>+J$67</f>
        <v>EUR/ha</v>
      </c>
      <c r="K333" s="171">
        <v>2683.2138643285198</v>
      </c>
      <c r="L333" s="171">
        <v>2895.1891050201402</v>
      </c>
      <c r="M333" s="172">
        <f t="shared" si="132"/>
        <v>107.90005014172314</v>
      </c>
      <c r="N333" s="8"/>
      <c r="O333" s="171">
        <v>4090.5885745161613</v>
      </c>
      <c r="P333" s="171">
        <v>3492.8888397681503</v>
      </c>
      <c r="Q333" s="171">
        <v>2895.1891050201402</v>
      </c>
      <c r="R333" s="171">
        <v>2297.4893702721292</v>
      </c>
      <c r="S333" s="171">
        <v>2358.617752234994</v>
      </c>
      <c r="T333" s="171"/>
      <c r="U333" s="1"/>
      <c r="V333" s="1"/>
      <c r="W333" s="156">
        <f t="shared" si="130"/>
        <v>141.28916717126515</v>
      </c>
      <c r="X333" s="156">
        <f t="shared" si="128"/>
        <v>120.64458358563257</v>
      </c>
      <c r="Y333" s="156">
        <f t="shared" si="128"/>
        <v>100</v>
      </c>
      <c r="Z333" s="156">
        <f t="shared" si="128"/>
        <v>79.355416414367411</v>
      </c>
      <c r="AA333" s="156">
        <f t="shared" si="128"/>
        <v>81.466794281079842</v>
      </c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Y333" s="38"/>
      <c r="AZ333" s="38"/>
      <c r="BC333" s="1"/>
      <c r="BD333" s="1"/>
      <c r="BE333" s="7"/>
      <c r="BF333" s="7"/>
      <c r="BG333" s="91"/>
      <c r="BH333" s="70"/>
      <c r="BI333" s="7"/>
      <c r="BJ333" s="4"/>
      <c r="BK333" s="7"/>
      <c r="BL333" s="7"/>
      <c r="BM333" s="7"/>
      <c r="BN333" s="7"/>
      <c r="BO333" s="7"/>
      <c r="BP333" s="4"/>
    </row>
    <row r="334" spans="1:68" s="5" customFormat="1" ht="11.25" customHeight="1" x14ac:dyDescent="0.2">
      <c r="A334" s="25" t="s">
        <v>12</v>
      </c>
      <c r="B334" s="120" t="s">
        <v>147</v>
      </c>
      <c r="C334" s="25"/>
      <c r="D334" s="25"/>
      <c r="H334" s="136" t="str">
        <f t="shared" si="129"/>
        <v>Breskve namizne</v>
      </c>
      <c r="I334" s="152" t="str">
        <f>+I$68</f>
        <v xml:space="preserve">                 zavarovanje</v>
      </c>
      <c r="J334" s="165" t="str">
        <f>+J$68</f>
        <v>EUR/ha</v>
      </c>
      <c r="K334" s="171">
        <v>873.25173869999992</v>
      </c>
      <c r="L334" s="171">
        <v>786.97173869999995</v>
      </c>
      <c r="M334" s="172">
        <f t="shared" si="132"/>
        <v>90.119687579615473</v>
      </c>
      <c r="N334" s="8"/>
      <c r="O334" s="171">
        <v>1175.2317387000001</v>
      </c>
      <c r="P334" s="171">
        <v>981.10173869999994</v>
      </c>
      <c r="Q334" s="171">
        <v>786.97173869999995</v>
      </c>
      <c r="R334" s="171">
        <v>592.84173869999995</v>
      </c>
      <c r="S334" s="171">
        <v>1175.2317387000001</v>
      </c>
      <c r="T334" s="171"/>
      <c r="U334" s="1"/>
      <c r="V334" s="1"/>
      <c r="W334" s="156">
        <f t="shared" si="130"/>
        <v>149.33595209420957</v>
      </c>
      <c r="X334" s="156">
        <f t="shared" si="128"/>
        <v>124.66797604710477</v>
      </c>
      <c r="Y334" s="156">
        <f t="shared" si="128"/>
        <v>100</v>
      </c>
      <c r="Z334" s="156">
        <f t="shared" si="128"/>
        <v>75.332023952895227</v>
      </c>
      <c r="AA334" s="156">
        <f t="shared" si="128"/>
        <v>149.33595209420957</v>
      </c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Y334" s="38"/>
      <c r="AZ334" s="38"/>
      <c r="BC334" s="1"/>
      <c r="BD334" s="1"/>
      <c r="BE334" s="7"/>
      <c r="BF334" s="7"/>
      <c r="BG334" s="91"/>
      <c r="BH334" s="70"/>
      <c r="BI334" s="7"/>
      <c r="BJ334" s="4"/>
      <c r="BK334" s="7"/>
      <c r="BL334" s="7"/>
      <c r="BM334" s="7"/>
      <c r="BN334" s="7"/>
      <c r="BO334" s="7"/>
      <c r="BP334" s="4"/>
    </row>
    <row r="335" spans="1:68" s="5" customFormat="1" ht="11.25" customHeight="1" x14ac:dyDescent="0.2">
      <c r="A335" s="25" t="s">
        <v>11</v>
      </c>
      <c r="B335" s="25"/>
      <c r="C335" s="25"/>
      <c r="D335" s="25"/>
      <c r="H335" s="136" t="str">
        <f t="shared" si="129"/>
        <v>Breskve namizne</v>
      </c>
      <c r="I335" s="152" t="str">
        <f>+I$69</f>
        <v xml:space="preserve">                 domače strojne storitve</v>
      </c>
      <c r="J335" s="165" t="str">
        <f>+J$69</f>
        <v>EUR/ha</v>
      </c>
      <c r="K335" s="171">
        <v>1784.8301691325739</v>
      </c>
      <c r="L335" s="171">
        <v>2019.1485357635556</v>
      </c>
      <c r="M335" s="172">
        <f t="shared" si="132"/>
        <v>113.12832843613687</v>
      </c>
      <c r="N335" s="8"/>
      <c r="O335" s="171">
        <v>2297.0651153975614</v>
      </c>
      <c r="P335" s="171">
        <v>2199.5353259959406</v>
      </c>
      <c r="Q335" s="171">
        <v>2019.1485357635556</v>
      </c>
      <c r="R335" s="171">
        <v>1920.0949326408672</v>
      </c>
      <c r="S335" s="171">
        <v>1637.4449913949545</v>
      </c>
      <c r="T335" s="171"/>
      <c r="U335" s="1"/>
      <c r="V335" s="1"/>
      <c r="W335" s="156">
        <f t="shared" si="130"/>
        <v>113.76404829617499</v>
      </c>
      <c r="X335" s="156">
        <f t="shared" si="128"/>
        <v>108.93380487058475</v>
      </c>
      <c r="Y335" s="156">
        <f t="shared" si="128"/>
        <v>100</v>
      </c>
      <c r="Z335" s="156">
        <f t="shared" si="128"/>
        <v>95.094288440487091</v>
      </c>
      <c r="AA335" s="156">
        <f t="shared" si="128"/>
        <v>81.095816498499602</v>
      </c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Y335" s="38"/>
      <c r="AZ335" s="38"/>
      <c r="BC335" s="1"/>
      <c r="BD335" s="1"/>
      <c r="BE335" s="7"/>
      <c r="BF335" s="7"/>
      <c r="BG335" s="91"/>
      <c r="BH335" s="70"/>
      <c r="BI335" s="7"/>
      <c r="BJ335" s="4"/>
      <c r="BK335" s="7"/>
      <c r="BL335" s="7"/>
      <c r="BM335" s="7"/>
      <c r="BN335" s="7"/>
      <c r="BO335" s="7"/>
      <c r="BP335" s="4"/>
    </row>
    <row r="336" spans="1:68" s="5" customFormat="1" ht="11.25" customHeight="1" x14ac:dyDescent="0.2">
      <c r="A336" s="25" t="s">
        <v>10</v>
      </c>
      <c r="B336" s="25"/>
      <c r="C336" s="25"/>
      <c r="D336" s="25"/>
      <c r="H336" s="136" t="str">
        <f t="shared" si="129"/>
        <v>Breskve namizne</v>
      </c>
      <c r="I336" s="152" t="str">
        <f>+I$70</f>
        <v>Amortizacija</v>
      </c>
      <c r="J336" s="165" t="str">
        <f>+J$70</f>
        <v>EUR/ha</v>
      </c>
      <c r="K336" s="171">
        <v>3233.4552777777776</v>
      </c>
      <c r="L336" s="171">
        <v>3385.79748676504</v>
      </c>
      <c r="M336" s="172">
        <f t="shared" si="132"/>
        <v>104.71143702015142</v>
      </c>
      <c r="N336" s="8"/>
      <c r="O336" s="171">
        <v>3385.79748676504</v>
      </c>
      <c r="P336" s="171">
        <v>3385.79748676504</v>
      </c>
      <c r="Q336" s="171">
        <v>3385.79748676504</v>
      </c>
      <c r="R336" s="171">
        <v>3385.79748676504</v>
      </c>
      <c r="S336" s="171">
        <v>3385.79748676504</v>
      </c>
      <c r="T336" s="171"/>
      <c r="U336" s="1"/>
      <c r="V336" s="1"/>
      <c r="W336" s="156">
        <f t="shared" si="130"/>
        <v>100</v>
      </c>
      <c r="X336" s="156">
        <f t="shared" si="128"/>
        <v>100</v>
      </c>
      <c r="Y336" s="156">
        <f t="shared" si="128"/>
        <v>100</v>
      </c>
      <c r="Z336" s="156">
        <f t="shared" si="128"/>
        <v>100</v>
      </c>
      <c r="AA336" s="156">
        <f t="shared" si="128"/>
        <v>100</v>
      </c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Y336" s="38"/>
      <c r="AZ336" s="38"/>
      <c r="BC336" s="1"/>
      <c r="BD336" s="1"/>
      <c r="BE336" s="7"/>
      <c r="BF336" s="7"/>
      <c r="BG336" s="91"/>
      <c r="BH336" s="70"/>
      <c r="BI336" s="7"/>
      <c r="BJ336" s="4"/>
      <c r="BK336" s="7"/>
      <c r="BL336" s="7"/>
      <c r="BM336" s="7"/>
      <c r="BN336" s="7"/>
      <c r="BO336" s="7"/>
      <c r="BP336" s="4"/>
    </row>
    <row r="337" spans="1:69" s="5" customFormat="1" ht="11.25" customHeight="1" x14ac:dyDescent="0.2">
      <c r="A337" s="25" t="s">
        <v>7</v>
      </c>
      <c r="B337" s="25" t="s">
        <v>9</v>
      </c>
      <c r="C337" s="25" t="s">
        <v>8</v>
      </c>
      <c r="D337" s="25"/>
      <c r="H337" s="136" t="str">
        <f t="shared" si="129"/>
        <v>Breskve namizne</v>
      </c>
      <c r="I337" s="151" t="str">
        <f>+I$71</f>
        <v>Stroški domačega dela in kapitala</v>
      </c>
      <c r="J337" s="168" t="str">
        <f>+J$71</f>
        <v>EUR/ha</v>
      </c>
      <c r="K337" s="169">
        <v>5295.4447607052307</v>
      </c>
      <c r="L337" s="169">
        <v>5575.2804773930566</v>
      </c>
      <c r="M337" s="170">
        <f t="shared" si="132"/>
        <v>105.28446106669533</v>
      </c>
      <c r="N337" s="8"/>
      <c r="O337" s="169">
        <v>6548.7273925131731</v>
      </c>
      <c r="P337" s="169">
        <v>6092.0227965743552</v>
      </c>
      <c r="Q337" s="169">
        <v>5575.2804773930566</v>
      </c>
      <c r="R337" s="169">
        <v>5116.3235383849478</v>
      </c>
      <c r="S337" s="169">
        <v>4031.1673481053558</v>
      </c>
      <c r="T337" s="169"/>
      <c r="U337" s="1"/>
      <c r="V337" s="9"/>
      <c r="W337" s="155">
        <f t="shared" si="130"/>
        <v>117.46005280034433</v>
      </c>
      <c r="X337" s="155">
        <f t="shared" si="128"/>
        <v>109.26845422892377</v>
      </c>
      <c r="Y337" s="155">
        <f t="shared" si="128"/>
        <v>100</v>
      </c>
      <c r="Z337" s="155">
        <f t="shared" si="128"/>
        <v>91.76800268849054</v>
      </c>
      <c r="AA337" s="155">
        <f t="shared" si="128"/>
        <v>72.304296877101464</v>
      </c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Y337" s="38"/>
      <c r="AZ337" s="38"/>
      <c r="BC337" s="9"/>
      <c r="BD337" s="9"/>
      <c r="BE337" s="6"/>
      <c r="BF337" s="6"/>
      <c r="BG337" s="91"/>
      <c r="BH337" s="71"/>
      <c r="BI337" s="6"/>
      <c r="BJ337" s="8"/>
      <c r="BK337" s="6"/>
      <c r="BL337" s="6"/>
      <c r="BM337" s="6"/>
      <c r="BN337" s="6"/>
      <c r="BO337" s="6"/>
      <c r="BP337" s="8"/>
    </row>
    <row r="338" spans="1:69" s="5" customFormat="1" ht="11.25" customHeight="1" x14ac:dyDescent="0.2">
      <c r="A338" s="25" t="s">
        <v>7</v>
      </c>
      <c r="B338" s="25"/>
      <c r="C338" s="25"/>
      <c r="D338" s="25"/>
      <c r="H338" s="136" t="str">
        <f t="shared" si="129"/>
        <v>Breskve namizne</v>
      </c>
      <c r="I338" s="152" t="str">
        <f>+I$72</f>
        <v xml:space="preserve">  Od tega: domače delo neto</v>
      </c>
      <c r="J338" s="165" t="str">
        <f>+J$72</f>
        <v>EUR/ha</v>
      </c>
      <c r="K338" s="171">
        <v>2613.0805504631039</v>
      </c>
      <c r="L338" s="171">
        <v>2746.3667920847893</v>
      </c>
      <c r="M338" s="172">
        <f t="shared" si="132"/>
        <v>105.10073222190046</v>
      </c>
      <c r="N338" s="8"/>
      <c r="O338" s="171">
        <v>3273.2894485913298</v>
      </c>
      <c r="P338" s="171">
        <v>3025.0195301265858</v>
      </c>
      <c r="Q338" s="171">
        <v>2746.3667920847893</v>
      </c>
      <c r="R338" s="171">
        <v>2497.5128276430337</v>
      </c>
      <c r="S338" s="171">
        <v>1901.6306213222263</v>
      </c>
      <c r="T338" s="171"/>
      <c r="U338" s="1"/>
      <c r="V338" s="1"/>
      <c r="W338" s="156">
        <f t="shared" si="130"/>
        <v>119.18617200095656</v>
      </c>
      <c r="X338" s="156">
        <f t="shared" si="128"/>
        <v>110.14623169945443</v>
      </c>
      <c r="Y338" s="156">
        <f t="shared" si="128"/>
        <v>100</v>
      </c>
      <c r="Z338" s="156">
        <f t="shared" si="128"/>
        <v>90.93879356686918</v>
      </c>
      <c r="AA338" s="156">
        <f t="shared" si="128"/>
        <v>69.241684206306729</v>
      </c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Y338" s="38"/>
      <c r="AZ338" s="38"/>
      <c r="BC338" s="1"/>
      <c r="BD338" s="1"/>
      <c r="BE338" s="7"/>
      <c r="BF338" s="7"/>
      <c r="BG338" s="91"/>
      <c r="BH338" s="70"/>
      <c r="BI338" s="7"/>
      <c r="BJ338" s="4"/>
      <c r="BK338" s="7"/>
      <c r="BL338" s="7"/>
      <c r="BM338" s="7"/>
      <c r="BN338" s="7"/>
      <c r="BO338" s="7"/>
      <c r="BP338" s="4"/>
    </row>
    <row r="339" spans="1:69" s="5" customFormat="1" ht="11.25" customHeight="1" x14ac:dyDescent="0.2">
      <c r="A339" s="25" t="s">
        <v>6</v>
      </c>
      <c r="B339" s="25"/>
      <c r="C339" s="25"/>
      <c r="D339" s="25"/>
      <c r="H339" s="136" t="str">
        <f t="shared" si="129"/>
        <v>Breskve namizne</v>
      </c>
      <c r="I339" s="151" t="str">
        <f>+I$73</f>
        <v>Stroški skupaj</v>
      </c>
      <c r="J339" s="168" t="str">
        <f>+J$73</f>
        <v>EUR/ha</v>
      </c>
      <c r="K339" s="169">
        <v>16615.959504957103</v>
      </c>
      <c r="L339" s="169">
        <v>17524.201676955119</v>
      </c>
      <c r="M339" s="170">
        <f t="shared" si="132"/>
        <v>105.46608320589044</v>
      </c>
      <c r="N339" s="8"/>
      <c r="O339" s="169">
        <v>21195.409340099206</v>
      </c>
      <c r="P339" s="169">
        <v>19411.398549252917</v>
      </c>
      <c r="Q339" s="169">
        <v>17524.201676955119</v>
      </c>
      <c r="R339" s="169">
        <v>15626.030280261677</v>
      </c>
      <c r="S339" s="169">
        <v>14132.394183381168</v>
      </c>
      <c r="T339" s="169"/>
      <c r="U339" s="1"/>
      <c r="V339" s="9"/>
      <c r="W339" s="155">
        <f t="shared" si="130"/>
        <v>120.94935752749205</v>
      </c>
      <c r="X339" s="155">
        <f t="shared" si="128"/>
        <v>110.76908898383384</v>
      </c>
      <c r="Y339" s="155">
        <f t="shared" si="128"/>
        <v>100</v>
      </c>
      <c r="Z339" s="155">
        <f t="shared" si="128"/>
        <v>89.168286055566242</v>
      </c>
      <c r="AA339" s="155">
        <f t="shared" si="128"/>
        <v>80.645009934836082</v>
      </c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Y339" s="38"/>
      <c r="AZ339" s="38"/>
      <c r="BC339" s="9"/>
      <c r="BD339" s="9"/>
      <c r="BE339" s="6"/>
      <c r="BF339" s="6"/>
      <c r="BG339" s="91"/>
      <c r="BH339" s="71"/>
      <c r="BI339" s="6"/>
      <c r="BJ339" s="8"/>
      <c r="BK339" s="6"/>
      <c r="BL339" s="6"/>
      <c r="BM339" s="6"/>
      <c r="BN339" s="6"/>
      <c r="BO339" s="6"/>
      <c r="BP339" s="8"/>
    </row>
    <row r="340" spans="1:69" s="5" customFormat="1" ht="11.25" customHeight="1" x14ac:dyDescent="0.25">
      <c r="A340" s="25" t="s">
        <v>5</v>
      </c>
      <c r="B340" s="25"/>
      <c r="C340" s="25"/>
      <c r="D340" s="25"/>
      <c r="H340" s="136" t="str">
        <f t="shared" si="129"/>
        <v>Breskve namizne</v>
      </c>
      <c r="I340" s="152" t="str">
        <f>+I$74</f>
        <v>Stranski pridelki</v>
      </c>
      <c r="J340" s="165" t="str">
        <f>+J$74</f>
        <v>EUR/ha</v>
      </c>
      <c r="K340" s="171">
        <v>0</v>
      </c>
      <c r="L340" s="171">
        <v>0</v>
      </c>
      <c r="M340" s="172"/>
      <c r="N340" s="8"/>
      <c r="O340" s="171">
        <v>0</v>
      </c>
      <c r="P340" s="171">
        <v>0</v>
      </c>
      <c r="Q340" s="171">
        <v>0</v>
      </c>
      <c r="R340" s="171">
        <v>0</v>
      </c>
      <c r="S340" s="171">
        <v>0</v>
      </c>
      <c r="T340" s="171"/>
      <c r="U340" s="1"/>
      <c r="V340" s="1"/>
      <c r="W340" s="156"/>
      <c r="X340" s="156"/>
      <c r="Y340" s="156"/>
      <c r="Z340" s="156"/>
      <c r="AA340" s="156"/>
      <c r="AB340" s="4"/>
      <c r="AC340" s="4"/>
      <c r="AD340" s="4"/>
      <c r="AE340" s="339" t="s">
        <v>224</v>
      </c>
      <c r="AF340" s="340"/>
      <c r="AG340" s="340"/>
      <c r="AH340" s="340"/>
      <c r="AI340" s="340"/>
      <c r="AJ340" s="340"/>
      <c r="AK340" s="340"/>
      <c r="AL340" s="340"/>
      <c r="AM340" s="340"/>
      <c r="AN340" s="1"/>
      <c r="AO340" s="1"/>
      <c r="AP340" s="1"/>
      <c r="AQ340" s="1"/>
      <c r="AR340" s="1"/>
      <c r="AS340" s="1"/>
      <c r="AT340" s="1"/>
      <c r="AU340" s="1"/>
      <c r="AY340" s="38"/>
      <c r="AZ340" s="38"/>
      <c r="BC340" s="1"/>
      <c r="BD340" s="1"/>
      <c r="BE340" s="7"/>
      <c r="BF340" s="7"/>
      <c r="BG340" s="91"/>
      <c r="BH340" s="70"/>
      <c r="BI340" s="7"/>
      <c r="BJ340" s="4"/>
      <c r="BK340" s="7"/>
      <c r="BL340" s="7"/>
      <c r="BM340" s="7"/>
      <c r="BN340" s="7"/>
      <c r="BO340" s="7"/>
      <c r="BP340" s="4"/>
    </row>
    <row r="341" spans="1:69" s="5" customFormat="1" ht="11.25" customHeight="1" x14ac:dyDescent="0.25">
      <c r="A341" s="25"/>
      <c r="B341" s="25"/>
      <c r="C341" s="25"/>
      <c r="D341" s="25"/>
      <c r="H341" s="136" t="str">
        <f t="shared" si="129"/>
        <v>Breskve namizne</v>
      </c>
      <c r="I341" s="152" t="str">
        <f>+I$75</f>
        <v>Stroški glavnega pridelka</v>
      </c>
      <c r="J341" s="165" t="str">
        <f>+J$75</f>
        <v>EUR/ha</v>
      </c>
      <c r="K341" s="171">
        <f>+K339-K340</f>
        <v>16615.959504957103</v>
      </c>
      <c r="L341" s="171">
        <f>+L339-L340</f>
        <v>17524.201676955119</v>
      </c>
      <c r="M341" s="172">
        <f t="shared" ref="M341:M346" si="133">L341/K341*100</f>
        <v>105.46608320589044</v>
      </c>
      <c r="N341" s="8"/>
      <c r="O341" s="171">
        <f>+O339-O340</f>
        <v>21195.409340099206</v>
      </c>
      <c r="P341" s="171">
        <f t="shared" ref="P341:S341" si="134">+P339-P340</f>
        <v>19411.398549252917</v>
      </c>
      <c r="Q341" s="171">
        <f t="shared" si="134"/>
        <v>17524.201676955119</v>
      </c>
      <c r="R341" s="171">
        <f t="shared" si="134"/>
        <v>15626.030280261677</v>
      </c>
      <c r="S341" s="171">
        <f t="shared" si="134"/>
        <v>14132.394183381168</v>
      </c>
      <c r="T341" s="171"/>
      <c r="U341" s="1"/>
      <c r="V341" s="1"/>
      <c r="W341" s="156">
        <f t="shared" si="130"/>
        <v>120.94935752749205</v>
      </c>
      <c r="X341" s="156">
        <f t="shared" si="130"/>
        <v>110.76908898383384</v>
      </c>
      <c r="Y341" s="156">
        <f t="shared" si="130"/>
        <v>100</v>
      </c>
      <c r="Z341" s="156">
        <f t="shared" si="130"/>
        <v>89.168286055566242</v>
      </c>
      <c r="AA341" s="156">
        <f t="shared" si="130"/>
        <v>80.645009934836082</v>
      </c>
      <c r="AB341" s="4"/>
      <c r="AC341" s="4"/>
      <c r="AD341" s="4"/>
      <c r="AE341" s="192" t="str">
        <f>AF$10&amp;""&amp;$L$56&amp;", upoštevani stroški zmanjšani za subvencije"</f>
        <v>prva ocena letine 2021, upoštevani stroški zmanjšani za subvencije</v>
      </c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Y341" s="38"/>
      <c r="AZ341" s="38"/>
      <c r="BC341" s="1"/>
      <c r="BD341" s="1"/>
      <c r="BE341" s="17"/>
      <c r="BF341" s="17"/>
      <c r="BG341" s="91"/>
      <c r="BH341" s="17"/>
      <c r="BI341" s="17"/>
      <c r="BJ341" s="17"/>
      <c r="BK341" s="17"/>
      <c r="BL341" s="17"/>
      <c r="BM341" s="17"/>
      <c r="BN341" s="17"/>
      <c r="BO341" s="17"/>
      <c r="BP341" s="4"/>
    </row>
    <row r="342" spans="1:69" s="5" customFormat="1" ht="11.25" customHeight="1" x14ac:dyDescent="0.2">
      <c r="A342" s="25" t="s">
        <v>4</v>
      </c>
      <c r="B342" s="25" t="s">
        <v>3</v>
      </c>
      <c r="C342" s="21" t="s">
        <v>2</v>
      </c>
      <c r="D342" s="21" t="s">
        <v>1</v>
      </c>
      <c r="H342" s="136" t="str">
        <f t="shared" si="129"/>
        <v>Breskve namizne</v>
      </c>
      <c r="I342" s="152" t="str">
        <f>+I$76</f>
        <v>Subvencije</v>
      </c>
      <c r="J342" s="165" t="str">
        <f>+J$76</f>
        <v>EUR/ha</v>
      </c>
      <c r="K342" s="171">
        <v>372.65162999999995</v>
      </c>
      <c r="L342" s="171">
        <v>367.43199779999998</v>
      </c>
      <c r="M342" s="172">
        <f t="shared" si="133"/>
        <v>98.599326615047957</v>
      </c>
      <c r="N342" s="8"/>
      <c r="O342" s="171">
        <v>367.43199779999998</v>
      </c>
      <c r="P342" s="171">
        <v>367.43199779999998</v>
      </c>
      <c r="Q342" s="171">
        <v>367.43199779999998</v>
      </c>
      <c r="R342" s="171">
        <v>367.43199779999998</v>
      </c>
      <c r="S342" s="171">
        <v>367.43199779999998</v>
      </c>
      <c r="T342" s="171"/>
      <c r="U342" s="1"/>
      <c r="V342" s="1"/>
      <c r="W342" s="156">
        <f t="shared" si="130"/>
        <v>100</v>
      </c>
      <c r="X342" s="156">
        <f t="shared" si="130"/>
        <v>100</v>
      </c>
      <c r="Y342" s="156">
        <f t="shared" si="130"/>
        <v>100</v>
      </c>
      <c r="Z342" s="156">
        <f t="shared" si="130"/>
        <v>100</v>
      </c>
      <c r="AA342" s="156">
        <f t="shared" si="130"/>
        <v>100</v>
      </c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Y342" s="38"/>
      <c r="AZ342" s="38"/>
      <c r="BC342" s="1"/>
      <c r="BD342" s="1"/>
      <c r="BE342" s="7"/>
      <c r="BF342" s="7"/>
      <c r="BG342" s="91"/>
      <c r="BH342" s="70"/>
      <c r="BI342" s="6"/>
      <c r="BJ342" s="4"/>
      <c r="BK342" s="7"/>
      <c r="BL342" s="7"/>
      <c r="BM342" s="7"/>
      <c r="BN342" s="7"/>
      <c r="BO342" s="7"/>
      <c r="BP342" s="4"/>
    </row>
    <row r="343" spans="1:69" s="5" customFormat="1" ht="11.25" customHeight="1" x14ac:dyDescent="0.2">
      <c r="A343" s="25"/>
      <c r="B343" s="25"/>
      <c r="C343" s="25"/>
      <c r="D343" s="25"/>
      <c r="H343" s="136" t="str">
        <f t="shared" si="129"/>
        <v>Breskve namizne</v>
      </c>
      <c r="I343" s="151" t="str">
        <f>+I$77</f>
        <v>Stroški, zmanjšani za subvencije</v>
      </c>
      <c r="J343" s="168" t="str">
        <f>+J$77</f>
        <v>EUR/ha</v>
      </c>
      <c r="K343" s="169">
        <f>+K341-K342</f>
        <v>16243.307874957103</v>
      </c>
      <c r="L343" s="169">
        <f>+L341-L342</f>
        <v>17156.769679155121</v>
      </c>
      <c r="M343" s="170">
        <f t="shared" si="133"/>
        <v>105.62361934668698</v>
      </c>
      <c r="N343" s="8"/>
      <c r="O343" s="169">
        <f>+O341-O342</f>
        <v>20827.977342299208</v>
      </c>
      <c r="P343" s="169">
        <f t="shared" ref="P343:S343" si="135">+P341-P342</f>
        <v>19043.966551452919</v>
      </c>
      <c r="Q343" s="169">
        <f t="shared" si="135"/>
        <v>17156.769679155121</v>
      </c>
      <c r="R343" s="169">
        <f t="shared" si="135"/>
        <v>15258.598282461677</v>
      </c>
      <c r="S343" s="169">
        <f t="shared" si="135"/>
        <v>13764.962185581167</v>
      </c>
      <c r="T343" s="169"/>
      <c r="U343" s="9"/>
      <c r="V343" s="9"/>
      <c r="W343" s="155">
        <f t="shared" si="130"/>
        <v>121.39801216545139</v>
      </c>
      <c r="X343" s="155">
        <f t="shared" si="130"/>
        <v>110.99972143701781</v>
      </c>
      <c r="Y343" s="155">
        <f t="shared" si="130"/>
        <v>100</v>
      </c>
      <c r="Z343" s="155">
        <f t="shared" si="130"/>
        <v>88.936312416668642</v>
      </c>
      <c r="AA343" s="155">
        <f t="shared" si="130"/>
        <v>80.230500513771659</v>
      </c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Y343" s="38"/>
      <c r="AZ343" s="38"/>
      <c r="BC343" s="1"/>
      <c r="BD343" s="1"/>
      <c r="BE343" s="8"/>
      <c r="BF343" s="8"/>
      <c r="BG343" s="91"/>
      <c r="BH343" s="71"/>
      <c r="BI343" s="8"/>
      <c r="BJ343" s="8"/>
      <c r="BK343" s="8"/>
      <c r="BL343" s="8"/>
      <c r="BM343" s="8"/>
      <c r="BN343" s="8"/>
      <c r="BO343" s="8"/>
      <c r="BP343" s="4"/>
    </row>
    <row r="344" spans="1:69" s="5" customFormat="1" ht="11.25" customHeight="1" x14ac:dyDescent="0.2">
      <c r="A344" s="25"/>
      <c r="B344" s="25"/>
      <c r="C344" s="25"/>
      <c r="D344" s="25"/>
      <c r="H344" s="136" t="str">
        <f t="shared" si="129"/>
        <v>Breskve namizne</v>
      </c>
      <c r="I344" s="153" t="str">
        <f>+I$78</f>
        <v>Stroški, zmanjšani za subvencije/kg</v>
      </c>
      <c r="J344" s="173" t="str">
        <f>+J$78</f>
        <v>EUR/kg</v>
      </c>
      <c r="K344" s="174">
        <f>+K343/K324</f>
        <v>0.81216539374785512</v>
      </c>
      <c r="L344" s="174">
        <f>+L343/L324</f>
        <v>0.85783848395775608</v>
      </c>
      <c r="M344" s="170">
        <f t="shared" si="133"/>
        <v>105.62361934668698</v>
      </c>
      <c r="N344" s="8"/>
      <c r="O344" s="174">
        <f>+O343/O324</f>
        <v>0.69426591140997362</v>
      </c>
      <c r="P344" s="174">
        <f t="shared" ref="P344:S344" si="136">+P343/P324</f>
        <v>0.76175866205811671</v>
      </c>
      <c r="Q344" s="174">
        <f t="shared" si="136"/>
        <v>0.85783848395775608</v>
      </c>
      <c r="R344" s="174">
        <f t="shared" si="136"/>
        <v>1.0172398854974452</v>
      </c>
      <c r="S344" s="174">
        <f t="shared" si="136"/>
        <v>0.45883207285270561</v>
      </c>
      <c r="T344" s="174"/>
      <c r="U344" s="1"/>
      <c r="V344" s="16"/>
      <c r="W344" s="157">
        <f t="shared" si="130"/>
        <v>80.932008110300927</v>
      </c>
      <c r="X344" s="157">
        <f t="shared" si="130"/>
        <v>88.799777149614243</v>
      </c>
      <c r="Y344" s="157">
        <f t="shared" si="130"/>
        <v>100</v>
      </c>
      <c r="Z344" s="157">
        <f t="shared" si="130"/>
        <v>118.58174988889152</v>
      </c>
      <c r="AA344" s="157">
        <f t="shared" si="130"/>
        <v>53.487000342514435</v>
      </c>
      <c r="AB344" s="73"/>
      <c r="AC344" s="4"/>
      <c r="AD344" s="4"/>
      <c r="AE344" s="4"/>
      <c r="AF344" s="4"/>
      <c r="AG344" s="4"/>
      <c r="AH344" s="4"/>
      <c r="AI344" s="4"/>
      <c r="AJ344" s="4"/>
      <c r="AK344" s="4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Y344" s="38"/>
      <c r="AZ344" s="38"/>
      <c r="BC344" s="16"/>
      <c r="BD344" s="16"/>
      <c r="BE344" s="15"/>
      <c r="BF344" s="15"/>
      <c r="BG344" s="91"/>
      <c r="BH344" s="75"/>
      <c r="BI344" s="14"/>
      <c r="BJ344" s="15"/>
      <c r="BK344" s="15"/>
      <c r="BL344" s="15"/>
      <c r="BM344" s="15"/>
      <c r="BN344" s="15"/>
      <c r="BO344" s="15"/>
      <c r="BP344" s="32"/>
    </row>
    <row r="345" spans="1:69" s="5" customFormat="1" ht="11.25" customHeight="1" x14ac:dyDescent="0.2">
      <c r="A345" s="25" t="s">
        <v>30</v>
      </c>
      <c r="B345" s="25"/>
      <c r="C345" s="25"/>
      <c r="D345" s="25"/>
      <c r="H345" s="136" t="str">
        <f t="shared" si="129"/>
        <v>Breskve namizne</v>
      </c>
      <c r="I345" s="16" t="str">
        <f>+I$79</f>
        <v>Prodajna cena</v>
      </c>
      <c r="J345" s="175" t="str">
        <f>+J$79</f>
        <v>EUR/kg</v>
      </c>
      <c r="K345" s="176">
        <v>1.1599999999999999</v>
      </c>
      <c r="L345" s="176">
        <v>1.87</v>
      </c>
      <c r="M345" s="164">
        <f t="shared" si="133"/>
        <v>161.20689655172416</v>
      </c>
      <c r="N345" s="8"/>
      <c r="O345" s="176">
        <v>1.87</v>
      </c>
      <c r="P345" s="176">
        <v>1.87</v>
      </c>
      <c r="Q345" s="176">
        <v>1.87</v>
      </c>
      <c r="R345" s="176">
        <v>1.87</v>
      </c>
      <c r="S345" s="176">
        <v>1.87</v>
      </c>
      <c r="T345" s="176"/>
      <c r="U345" s="1"/>
      <c r="V345" s="16"/>
      <c r="W345" s="73">
        <f t="shared" si="130"/>
        <v>100</v>
      </c>
      <c r="X345" s="73">
        <f t="shared" si="130"/>
        <v>100</v>
      </c>
      <c r="Y345" s="73">
        <f t="shared" si="130"/>
        <v>100</v>
      </c>
      <c r="Z345" s="73">
        <f t="shared" si="130"/>
        <v>100</v>
      </c>
      <c r="AA345" s="73">
        <f t="shared" si="130"/>
        <v>100</v>
      </c>
      <c r="AB345" s="73"/>
      <c r="AC345" s="4"/>
      <c r="AD345" s="4"/>
      <c r="AE345" s="4"/>
      <c r="AF345" s="4"/>
      <c r="AG345" s="4"/>
      <c r="AH345" s="4"/>
      <c r="AI345" s="4"/>
      <c r="AJ345" s="4"/>
      <c r="AK345" s="4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Y345" s="38"/>
      <c r="AZ345" s="38"/>
      <c r="BC345" s="16"/>
      <c r="BD345" s="16"/>
      <c r="BE345" s="74"/>
      <c r="BF345" s="74"/>
      <c r="BG345" s="91"/>
      <c r="BH345" s="75"/>
      <c r="BI345" s="6"/>
      <c r="BJ345" s="15"/>
      <c r="BK345" s="74"/>
      <c r="BL345" s="74"/>
      <c r="BM345" s="74"/>
      <c r="BN345" s="74"/>
      <c r="BO345" s="74"/>
      <c r="BP345" s="32"/>
    </row>
    <row r="346" spans="1:69" s="85" customFormat="1" ht="11.25" customHeight="1" x14ac:dyDescent="0.2">
      <c r="A346" s="25"/>
      <c r="B346" s="25"/>
      <c r="C346" s="25"/>
      <c r="D346" s="25"/>
      <c r="F346" s="5"/>
      <c r="G346" s="5"/>
      <c r="H346" s="136" t="str">
        <f t="shared" si="129"/>
        <v>Breskve namizne</v>
      </c>
      <c r="I346" s="9" t="str">
        <f>+I$80</f>
        <v>Vrednost proizvodnje skupaj</v>
      </c>
      <c r="J346" s="159" t="str">
        <f>+J$80</f>
        <v>EUR/ha</v>
      </c>
      <c r="K346" s="163">
        <f>+K345*K324+K340+K342</f>
        <v>23572.65163</v>
      </c>
      <c r="L346" s="163">
        <f>+L345*L324+L340+L342</f>
        <v>37767.431997799998</v>
      </c>
      <c r="M346" s="164">
        <f t="shared" si="133"/>
        <v>160.21715584060493</v>
      </c>
      <c r="N346" s="8"/>
      <c r="O346" s="163">
        <f>+O345*O324+O340+O342</f>
        <v>56467.431997799998</v>
      </c>
      <c r="P346" s="163">
        <f t="shared" ref="P346:S346" si="137">+P345*P324+P340+P342</f>
        <v>47117.431997799998</v>
      </c>
      <c r="Q346" s="163">
        <f t="shared" si="137"/>
        <v>37767.431997799998</v>
      </c>
      <c r="R346" s="163">
        <f t="shared" si="137"/>
        <v>28417.431997799998</v>
      </c>
      <c r="S346" s="163">
        <f t="shared" si="137"/>
        <v>56467.431997799998</v>
      </c>
      <c r="T346" s="163"/>
      <c r="U346" s="1"/>
      <c r="V346" s="9"/>
      <c r="W346" s="8">
        <f t="shared" si="130"/>
        <v>149.51355972809932</v>
      </c>
      <c r="X346" s="8">
        <f t="shared" si="130"/>
        <v>124.75677986404968</v>
      </c>
      <c r="Y346" s="8">
        <f t="shared" si="130"/>
        <v>100</v>
      </c>
      <c r="Z346" s="8">
        <f t="shared" si="130"/>
        <v>75.243220135950338</v>
      </c>
      <c r="AA346" s="8">
        <f t="shared" si="130"/>
        <v>149.51355972809932</v>
      </c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1"/>
      <c r="AM346" s="1"/>
      <c r="AN346" s="1"/>
      <c r="AO346" s="135"/>
      <c r="AP346" s="135"/>
      <c r="AQ346" s="135"/>
      <c r="AR346" s="135"/>
      <c r="AS346" s="135"/>
      <c r="AT346" s="135"/>
      <c r="AU346" s="135"/>
      <c r="AY346" s="38"/>
      <c r="AZ346" s="38"/>
      <c r="BB346" s="5"/>
      <c r="BC346" s="9"/>
      <c r="BD346" s="9"/>
      <c r="BE346" s="8"/>
      <c r="BF346" s="8"/>
      <c r="BG346" s="91"/>
      <c r="BH346" s="71"/>
      <c r="BI346" s="8"/>
      <c r="BJ346" s="8"/>
      <c r="BK346" s="8"/>
      <c r="BL346" s="8"/>
      <c r="BM346" s="8"/>
      <c r="BN346" s="8"/>
      <c r="BO346" s="8"/>
      <c r="BP346" s="8"/>
      <c r="BQ346" s="5"/>
    </row>
    <row r="347" spans="1:69" s="5" customFormat="1" ht="11.25" customHeight="1" x14ac:dyDescent="0.2">
      <c r="A347" s="25"/>
      <c r="B347" s="25"/>
      <c r="C347" s="25"/>
      <c r="D347" s="25"/>
      <c r="H347" s="136" t="str">
        <f t="shared" si="129"/>
        <v>Breskve namizne</v>
      </c>
      <c r="I347" s="1" t="str">
        <f>+I$81</f>
        <v xml:space="preserve">  Od tega interna realizacija</v>
      </c>
      <c r="J347" s="162" t="str">
        <f>+J$81</f>
        <v>EUR/ha</v>
      </c>
      <c r="K347" s="177">
        <f>+K346-K349</f>
        <v>0</v>
      </c>
      <c r="L347" s="177">
        <f>+L346-L349</f>
        <v>0</v>
      </c>
      <c r="M347" s="164"/>
      <c r="N347" s="8"/>
      <c r="O347" s="177">
        <f>+O346-O349</f>
        <v>0</v>
      </c>
      <c r="P347" s="177">
        <f t="shared" ref="P347:S347" si="138">+P346-P349</f>
        <v>0</v>
      </c>
      <c r="Q347" s="177">
        <f t="shared" si="138"/>
        <v>0</v>
      </c>
      <c r="R347" s="177">
        <f t="shared" si="138"/>
        <v>0</v>
      </c>
      <c r="S347" s="177">
        <f t="shared" si="138"/>
        <v>0</v>
      </c>
      <c r="T347" s="177"/>
      <c r="U347" s="1"/>
      <c r="V347" s="1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Y347" s="38"/>
      <c r="AZ347" s="38"/>
      <c r="BC347" s="1"/>
      <c r="BD347" s="1"/>
      <c r="BE347" s="4"/>
      <c r="BF347" s="4"/>
      <c r="BG347" s="91"/>
      <c r="BH347" s="70"/>
      <c r="BI347" s="4"/>
      <c r="BJ347" s="8"/>
      <c r="BK347" s="4"/>
      <c r="BL347" s="4"/>
      <c r="BM347" s="4"/>
      <c r="BN347" s="4"/>
      <c r="BO347" s="4"/>
      <c r="BP347" s="4"/>
    </row>
    <row r="348" spans="1:69" s="5" customFormat="1" ht="11.25" customHeight="1" x14ac:dyDescent="0.2">
      <c r="A348" s="25"/>
      <c r="B348" s="25"/>
      <c r="C348" s="25"/>
      <c r="D348" s="25"/>
      <c r="H348" s="136" t="str">
        <f t="shared" si="129"/>
        <v>Breskve namizne</v>
      </c>
      <c r="I348" s="151" t="str">
        <f>+I$82</f>
        <v>OBRAČUN DOHODKA</v>
      </c>
      <c r="J348" s="165"/>
      <c r="K348" s="171"/>
      <c r="L348" s="171"/>
      <c r="M348" s="170"/>
      <c r="N348" s="8"/>
      <c r="O348" s="171"/>
      <c r="P348" s="171"/>
      <c r="Q348" s="171"/>
      <c r="R348" s="171"/>
      <c r="S348" s="171"/>
      <c r="T348" s="171"/>
      <c r="U348" s="1"/>
      <c r="V348" s="1"/>
      <c r="W348" s="156"/>
      <c r="X348" s="156"/>
      <c r="Y348" s="156"/>
      <c r="Z348" s="156"/>
      <c r="AA348" s="156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Y348" s="38"/>
      <c r="AZ348" s="38"/>
      <c r="BC348" s="9"/>
      <c r="BD348" s="1"/>
      <c r="BE348" s="4"/>
      <c r="BF348" s="4"/>
      <c r="BG348" s="91"/>
      <c r="BH348" s="70"/>
      <c r="BI348" s="4"/>
      <c r="BJ348" s="8"/>
      <c r="BK348" s="4"/>
      <c r="BL348" s="4"/>
      <c r="BM348" s="4"/>
      <c r="BN348" s="4"/>
      <c r="BO348" s="4"/>
      <c r="BP348" s="4"/>
    </row>
    <row r="349" spans="1:69" s="5" customFormat="1" ht="11.25" customHeight="1" x14ac:dyDescent="0.2">
      <c r="A349" s="25" t="s">
        <v>29</v>
      </c>
      <c r="B349" s="25"/>
      <c r="C349" s="25"/>
      <c r="D349" s="25"/>
      <c r="H349" s="136" t="str">
        <f t="shared" si="129"/>
        <v>Breskve namizne</v>
      </c>
      <c r="I349" s="152" t="str">
        <f>+I$83</f>
        <v>Vrednost finalne proizvodnje skupaj</v>
      </c>
      <c r="J349" s="165" t="str">
        <f>+J$83</f>
        <v>EUR/ha</v>
      </c>
      <c r="K349" s="171">
        <v>23572.65163</v>
      </c>
      <c r="L349" s="171">
        <v>37767.431997799998</v>
      </c>
      <c r="M349" s="172">
        <f t="shared" ref="M349:M356" si="139">L349/K349*100</f>
        <v>160.21715584060493</v>
      </c>
      <c r="N349" s="8"/>
      <c r="O349" s="171">
        <v>56467.431997799998</v>
      </c>
      <c r="P349" s="171">
        <v>47117.431997799998</v>
      </c>
      <c r="Q349" s="171">
        <v>37767.431997799998</v>
      </c>
      <c r="R349" s="171">
        <v>28417.431997799998</v>
      </c>
      <c r="S349" s="171">
        <v>56467.431997799998</v>
      </c>
      <c r="T349" s="171"/>
      <c r="U349" s="1"/>
      <c r="V349" s="1"/>
      <c r="W349" s="156">
        <f t="shared" si="130"/>
        <v>149.51355972809932</v>
      </c>
      <c r="X349" s="156">
        <f t="shared" si="130"/>
        <v>124.75677986404968</v>
      </c>
      <c r="Y349" s="156">
        <f t="shared" si="130"/>
        <v>100</v>
      </c>
      <c r="Z349" s="156">
        <f t="shared" si="130"/>
        <v>75.243220135950338</v>
      </c>
      <c r="AA349" s="156">
        <f t="shared" si="130"/>
        <v>149.51355972809932</v>
      </c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Y349" s="38"/>
      <c r="AZ349" s="38"/>
      <c r="BC349" s="1"/>
      <c r="BD349" s="1"/>
      <c r="BE349" s="41"/>
      <c r="BF349" s="41"/>
      <c r="BG349" s="91"/>
      <c r="BH349" s="70"/>
      <c r="BI349" s="41"/>
      <c r="BJ349" s="4"/>
      <c r="BK349" s="41"/>
      <c r="BL349" s="41"/>
      <c r="BM349" s="41"/>
      <c r="BN349" s="41"/>
      <c r="BO349" s="41"/>
      <c r="BP349" s="4"/>
    </row>
    <row r="350" spans="1:69" s="5" customFormat="1" ht="11.25" customHeight="1" x14ac:dyDescent="0.2">
      <c r="A350" s="25" t="s">
        <v>28</v>
      </c>
      <c r="B350" s="25"/>
      <c r="C350" s="25"/>
      <c r="D350" s="25"/>
      <c r="H350" s="136" t="str">
        <f t="shared" si="129"/>
        <v>Breskve namizne</v>
      </c>
      <c r="I350" s="152" t="str">
        <f>+I$84</f>
        <v>Stroški zmanjšani za interno realizacijo</v>
      </c>
      <c r="J350" s="165" t="str">
        <f>+J$84</f>
        <v>EUR/ha</v>
      </c>
      <c r="K350" s="171">
        <v>16615.959504957107</v>
      </c>
      <c r="L350" s="171">
        <v>17524.201676955119</v>
      </c>
      <c r="M350" s="172">
        <f t="shared" si="139"/>
        <v>105.46608320589041</v>
      </c>
      <c r="N350" s="8"/>
      <c r="O350" s="171">
        <v>21195.409340099199</v>
      </c>
      <c r="P350" s="171">
        <v>19411.398549252917</v>
      </c>
      <c r="Q350" s="171">
        <v>17524.201676955119</v>
      </c>
      <c r="R350" s="171">
        <v>15626.030280261675</v>
      </c>
      <c r="S350" s="171">
        <v>14132.39418338117</v>
      </c>
      <c r="T350" s="171"/>
      <c r="U350" s="1"/>
      <c r="V350" s="1"/>
      <c r="W350" s="156">
        <f t="shared" si="130"/>
        <v>120.94935752749201</v>
      </c>
      <c r="X350" s="156">
        <f t="shared" si="130"/>
        <v>110.76908898383384</v>
      </c>
      <c r="Y350" s="156">
        <f t="shared" si="130"/>
        <v>100</v>
      </c>
      <c r="Z350" s="156">
        <f t="shared" si="130"/>
        <v>89.168286055566227</v>
      </c>
      <c r="AA350" s="156">
        <f t="shared" si="130"/>
        <v>80.645009934836096</v>
      </c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Y350" s="38"/>
      <c r="AZ350" s="38"/>
      <c r="BC350" s="1"/>
      <c r="BD350" s="1"/>
      <c r="BE350" s="7"/>
      <c r="BF350" s="7"/>
      <c r="BG350" s="91"/>
      <c r="BH350" s="70"/>
      <c r="BI350" s="7"/>
      <c r="BJ350" s="4"/>
      <c r="BK350" s="7"/>
      <c r="BL350" s="7"/>
      <c r="BM350" s="7"/>
      <c r="BN350" s="7"/>
      <c r="BO350" s="7"/>
      <c r="BP350" s="4"/>
    </row>
    <row r="351" spans="1:69" s="5" customFormat="1" ht="11.25" customHeight="1" x14ac:dyDescent="0.2">
      <c r="A351" s="25" t="s">
        <v>27</v>
      </c>
      <c r="B351" s="25"/>
      <c r="C351" s="25"/>
      <c r="D351" s="25"/>
      <c r="H351" s="136" t="str">
        <f t="shared" si="129"/>
        <v>Breskve namizne</v>
      </c>
      <c r="I351" s="152" t="str">
        <f>+I$85</f>
        <v xml:space="preserve">  Stroški kupljenega blaga in storitev</v>
      </c>
      <c r="J351" s="165" t="str">
        <f>+J$85</f>
        <v>EUR/ha</v>
      </c>
      <c r="K351" s="171">
        <v>7042.759379651895</v>
      </c>
      <c r="L351" s="171">
        <v>7379.0466044016912</v>
      </c>
      <c r="M351" s="172">
        <f t="shared" si="139"/>
        <v>104.77493559870021</v>
      </c>
      <c r="N351" s="8"/>
      <c r="O351" s="171">
        <v>9808.6154668154722</v>
      </c>
      <c r="P351" s="171">
        <v>8596.6871852878485</v>
      </c>
      <c r="Q351" s="171">
        <v>7379.0466044016912</v>
      </c>
      <c r="R351" s="171">
        <v>6055.8491546879532</v>
      </c>
      <c r="S351" s="171">
        <v>5593.0041630714786</v>
      </c>
      <c r="T351" s="171"/>
      <c r="U351" s="1"/>
      <c r="V351" s="1"/>
      <c r="W351" s="156">
        <f t="shared" si="130"/>
        <v>132.92524078875601</v>
      </c>
      <c r="X351" s="156">
        <f t="shared" si="130"/>
        <v>116.50132660986068</v>
      </c>
      <c r="Y351" s="156">
        <f t="shared" si="130"/>
        <v>100</v>
      </c>
      <c r="Z351" s="156">
        <f t="shared" si="130"/>
        <v>82.068178713975939</v>
      </c>
      <c r="AA351" s="156">
        <f t="shared" si="130"/>
        <v>75.795756049774553</v>
      </c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Y351" s="38"/>
      <c r="AZ351" s="38"/>
      <c r="BC351" s="1"/>
      <c r="BD351" s="1"/>
      <c r="BE351" s="7"/>
      <c r="BF351" s="7"/>
      <c r="BG351" s="91"/>
      <c r="BH351" s="70"/>
      <c r="BI351" s="7"/>
      <c r="BJ351" s="4"/>
      <c r="BK351" s="7"/>
      <c r="BL351" s="7"/>
      <c r="BM351" s="7"/>
      <c r="BN351" s="7"/>
      <c r="BO351" s="7"/>
      <c r="BP351" s="4"/>
    </row>
    <row r="352" spans="1:69" s="5" customFormat="1" ht="11.25" customHeight="1" x14ac:dyDescent="0.2">
      <c r="A352" s="25" t="s">
        <v>26</v>
      </c>
      <c r="B352" s="25"/>
      <c r="C352" s="25"/>
      <c r="D352" s="25"/>
      <c r="H352" s="136" t="str">
        <f t="shared" si="129"/>
        <v>Breskve namizne</v>
      </c>
      <c r="I352" s="152" t="str">
        <f>+I$86</f>
        <v xml:space="preserve">  Amortizacija</v>
      </c>
      <c r="J352" s="165" t="str">
        <f>+J$86</f>
        <v>EUR/ha</v>
      </c>
      <c r="K352" s="171">
        <v>3965.8182802612355</v>
      </c>
      <c r="L352" s="171">
        <v>4239.6158823664609</v>
      </c>
      <c r="M352" s="172">
        <f t="shared" si="139"/>
        <v>106.90393716393858</v>
      </c>
      <c r="N352" s="8"/>
      <c r="O352" s="171">
        <v>4454.2759481948469</v>
      </c>
      <c r="P352" s="171">
        <v>4360.5003478816216</v>
      </c>
      <c r="Q352" s="171">
        <v>4239.6158823664609</v>
      </c>
      <c r="R352" s="171">
        <v>4145.3982989585083</v>
      </c>
      <c r="S352" s="171">
        <v>4256.8004472124976</v>
      </c>
      <c r="T352" s="171"/>
      <c r="U352" s="1"/>
      <c r="V352" s="1"/>
      <c r="W352" s="156">
        <f t="shared" si="130"/>
        <v>105.06319609569363</v>
      </c>
      <c r="X352" s="156">
        <f t="shared" si="130"/>
        <v>102.85130702566588</v>
      </c>
      <c r="Y352" s="156">
        <f t="shared" si="130"/>
        <v>100</v>
      </c>
      <c r="Z352" s="156">
        <f t="shared" si="130"/>
        <v>97.777685855932717</v>
      </c>
      <c r="AA352" s="156">
        <f t="shared" si="130"/>
        <v>100.40533306136321</v>
      </c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Y352" s="38"/>
      <c r="AZ352" s="38"/>
      <c r="BC352" s="1"/>
      <c r="BD352" s="1"/>
      <c r="BE352" s="41"/>
      <c r="BF352" s="41"/>
      <c r="BG352" s="91"/>
      <c r="BH352" s="70"/>
      <c r="BI352" s="41"/>
      <c r="BJ352" s="4"/>
      <c r="BK352" s="41"/>
      <c r="BL352" s="41"/>
      <c r="BM352" s="41"/>
      <c r="BN352" s="41"/>
      <c r="BO352" s="41"/>
      <c r="BP352" s="4"/>
    </row>
    <row r="353" spans="1:68" s="5" customFormat="1" ht="11.25" customHeight="1" x14ac:dyDescent="0.2">
      <c r="A353" s="25"/>
      <c r="B353" s="25"/>
      <c r="C353" s="25"/>
      <c r="D353" s="25"/>
      <c r="H353" s="136" t="str">
        <f t="shared" si="129"/>
        <v>Breskve namizne</v>
      </c>
      <c r="I353" s="151" t="str">
        <f>+I$87</f>
        <v xml:space="preserve">  Stroški domačega dela in kapitala</v>
      </c>
      <c r="J353" s="168" t="str">
        <f>+J$87</f>
        <v>EUR/ha</v>
      </c>
      <c r="K353" s="169">
        <f>+K350-K351-K352</f>
        <v>5607.3818450439758</v>
      </c>
      <c r="L353" s="169">
        <f>+L350-L351-L352</f>
        <v>5905.539190186968</v>
      </c>
      <c r="M353" s="170">
        <f t="shared" si="139"/>
        <v>105.31722920575697</v>
      </c>
      <c r="N353" s="8"/>
      <c r="O353" s="169">
        <f>+O350-O351-O352</f>
        <v>6932.5179250888796</v>
      </c>
      <c r="P353" s="169">
        <f t="shared" ref="P353:S353" si="140">+P350-P351-P352</f>
        <v>6454.2110160834472</v>
      </c>
      <c r="Q353" s="169">
        <f t="shared" si="140"/>
        <v>5905.539190186968</v>
      </c>
      <c r="R353" s="169">
        <f t="shared" si="140"/>
        <v>5424.7828266152146</v>
      </c>
      <c r="S353" s="169">
        <f t="shared" si="140"/>
        <v>4282.5895730971934</v>
      </c>
      <c r="T353" s="169"/>
      <c r="U353" s="1"/>
      <c r="V353" s="9"/>
      <c r="W353" s="155">
        <f t="shared" si="130"/>
        <v>117.3900926203048</v>
      </c>
      <c r="X353" s="155">
        <f t="shared" si="130"/>
        <v>109.29079984446108</v>
      </c>
      <c r="Y353" s="155">
        <f t="shared" si="130"/>
        <v>100</v>
      </c>
      <c r="Z353" s="155">
        <f t="shared" si="130"/>
        <v>91.859229985796901</v>
      </c>
      <c r="AA353" s="155">
        <f t="shared" si="130"/>
        <v>72.518180561961657</v>
      </c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Y353" s="38"/>
      <c r="AZ353" s="38"/>
      <c r="BC353" s="9"/>
      <c r="BD353" s="9"/>
      <c r="BE353" s="8"/>
      <c r="BF353" s="8"/>
      <c r="BG353" s="91"/>
      <c r="BH353" s="71"/>
      <c r="BI353" s="8"/>
      <c r="BJ353" s="8"/>
      <c r="BK353" s="8"/>
      <c r="BL353" s="8"/>
      <c r="BM353" s="8"/>
      <c r="BN353" s="8"/>
      <c r="BO353" s="8"/>
      <c r="BP353" s="8"/>
    </row>
    <row r="354" spans="1:68" s="5" customFormat="1" ht="11.25" customHeight="1" x14ac:dyDescent="0.2">
      <c r="A354" s="25"/>
      <c r="B354" s="25"/>
      <c r="C354" s="25"/>
      <c r="D354" s="25"/>
      <c r="H354" s="136" t="str">
        <f t="shared" si="129"/>
        <v>Breskve namizne</v>
      </c>
      <c r="I354" s="152" t="str">
        <f>+I$88</f>
        <v xml:space="preserve">Bruto dodana vrednost </v>
      </c>
      <c r="J354" s="165" t="str">
        <f>+J$88</f>
        <v>EUR/ha</v>
      </c>
      <c r="K354" s="171">
        <f>+K349-K351</f>
        <v>16529.892250348104</v>
      </c>
      <c r="L354" s="171">
        <f>+L349-L351</f>
        <v>30388.385393398308</v>
      </c>
      <c r="M354" s="172">
        <f t="shared" si="139"/>
        <v>183.83898051578865</v>
      </c>
      <c r="N354" s="8"/>
      <c r="O354" s="171">
        <f>+O349-O351</f>
        <v>46658.816530984528</v>
      </c>
      <c r="P354" s="171">
        <f t="shared" ref="P354:S354" si="141">+P349-P351</f>
        <v>38520.744812512152</v>
      </c>
      <c r="Q354" s="171">
        <f t="shared" si="141"/>
        <v>30388.385393398308</v>
      </c>
      <c r="R354" s="171">
        <f t="shared" si="141"/>
        <v>22361.582843112046</v>
      </c>
      <c r="S354" s="171">
        <f t="shared" si="141"/>
        <v>50874.427834728522</v>
      </c>
      <c r="T354" s="171"/>
      <c r="U354" s="1"/>
      <c r="V354" s="1"/>
      <c r="W354" s="156">
        <f t="shared" si="130"/>
        <v>153.54161113515715</v>
      </c>
      <c r="X354" s="156">
        <f t="shared" si="130"/>
        <v>126.76140674746263</v>
      </c>
      <c r="Y354" s="156">
        <f t="shared" si="130"/>
        <v>100</v>
      </c>
      <c r="Z354" s="156">
        <f t="shared" si="130"/>
        <v>73.585952506611179</v>
      </c>
      <c r="AA354" s="156">
        <f t="shared" si="130"/>
        <v>167.41405367914243</v>
      </c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Y354" s="38"/>
      <c r="AZ354" s="38"/>
      <c r="BC354" s="1"/>
      <c r="BD354" s="1"/>
      <c r="BE354" s="4"/>
      <c r="BF354" s="4"/>
      <c r="BG354" s="91"/>
      <c r="BH354" s="70"/>
      <c r="BI354" s="4"/>
      <c r="BJ354" s="4"/>
      <c r="BK354" s="4"/>
      <c r="BL354" s="4"/>
      <c r="BM354" s="4"/>
      <c r="BN354" s="4"/>
      <c r="BO354" s="4"/>
      <c r="BP354" s="4"/>
    </row>
    <row r="355" spans="1:68" s="5" customFormat="1" ht="11.25" customHeight="1" x14ac:dyDescent="0.2">
      <c r="A355" s="25"/>
      <c r="B355" s="25"/>
      <c r="C355" s="25"/>
      <c r="D355" s="25"/>
      <c r="H355" s="136" t="str">
        <f t="shared" si="129"/>
        <v>Breskve namizne</v>
      </c>
      <c r="I355" s="151" t="str">
        <f>+I$89</f>
        <v>Neto dodana vrednost</v>
      </c>
      <c r="J355" s="168" t="str">
        <f>+J$89</f>
        <v>EUR/ha</v>
      </c>
      <c r="K355" s="169">
        <f>+K354-K352</f>
        <v>12564.073970086869</v>
      </c>
      <c r="L355" s="169">
        <f>+L354-L352</f>
        <v>26148.769511031845</v>
      </c>
      <c r="M355" s="170">
        <f t="shared" si="139"/>
        <v>208.12333303105385</v>
      </c>
      <c r="N355" s="8"/>
      <c r="O355" s="169">
        <f>+O354-O352</f>
        <v>42204.540582789683</v>
      </c>
      <c r="P355" s="169">
        <f t="shared" ref="P355:S355" si="142">+P354-P352</f>
        <v>34160.24446463053</v>
      </c>
      <c r="Q355" s="169">
        <f t="shared" si="142"/>
        <v>26148.769511031845</v>
      </c>
      <c r="R355" s="169">
        <f t="shared" si="142"/>
        <v>18216.184544153537</v>
      </c>
      <c r="S355" s="169">
        <f t="shared" si="142"/>
        <v>46617.627387516026</v>
      </c>
      <c r="T355" s="169"/>
      <c r="U355" s="1"/>
      <c r="V355" s="9"/>
      <c r="W355" s="155">
        <f t="shared" si="130"/>
        <v>161.4016314036655</v>
      </c>
      <c r="X355" s="155">
        <f t="shared" si="130"/>
        <v>130.63805717595523</v>
      </c>
      <c r="Y355" s="155">
        <f t="shared" si="130"/>
        <v>100</v>
      </c>
      <c r="Z355" s="155">
        <f t="shared" si="130"/>
        <v>69.66363956999335</v>
      </c>
      <c r="AA355" s="155">
        <f t="shared" si="130"/>
        <v>178.2784745104301</v>
      </c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Y355" s="38"/>
      <c r="AZ355" s="38"/>
      <c r="BC355" s="9"/>
      <c r="BD355" s="9"/>
      <c r="BE355" s="8"/>
      <c r="BF355" s="8"/>
      <c r="BG355" s="91"/>
      <c r="BH355" s="71"/>
      <c r="BI355" s="8"/>
      <c r="BJ355" s="8"/>
      <c r="BK355" s="8"/>
      <c r="BL355" s="8"/>
      <c r="BM355" s="8"/>
      <c r="BN355" s="8"/>
      <c r="BO355" s="8"/>
      <c r="BP355" s="8"/>
    </row>
    <row r="356" spans="1:68" s="5" customFormat="1" ht="11.25" customHeight="1" x14ac:dyDescent="0.25">
      <c r="A356" s="25" t="s">
        <v>25</v>
      </c>
      <c r="B356" s="25" t="s">
        <v>24</v>
      </c>
      <c r="C356" s="25"/>
      <c r="D356" s="25"/>
      <c r="H356" s="136" t="str">
        <f t="shared" si="129"/>
        <v>Breskve namizne</v>
      </c>
      <c r="I356" s="152" t="str">
        <f>+I$90</f>
        <v>Neto dodana vrednost/uro</v>
      </c>
      <c r="J356" s="167" t="str">
        <f>+J$90</f>
        <v>EUR/uro</v>
      </c>
      <c r="K356" s="171">
        <v>31.290279171381197</v>
      </c>
      <c r="L356" s="171">
        <v>65.103919127650542</v>
      </c>
      <c r="M356" s="172">
        <f t="shared" si="139"/>
        <v>208.06436008789615</v>
      </c>
      <c r="N356" s="8"/>
      <c r="O356" s="171">
        <v>88.303399228979174</v>
      </c>
      <c r="P356" s="171">
        <v>77.237240048608982</v>
      </c>
      <c r="Q356" s="171">
        <v>65.103919127650542</v>
      </c>
      <c r="R356" s="171">
        <v>49.78744511616248</v>
      </c>
      <c r="S356" s="171">
        <v>166.57452955095533</v>
      </c>
      <c r="T356" s="171"/>
      <c r="U356" s="1"/>
      <c r="V356" s="1"/>
      <c r="W356" s="156">
        <f t="shared" si="130"/>
        <v>135.63453692525169</v>
      </c>
      <c r="X356" s="156">
        <f t="shared" si="130"/>
        <v>118.63685179561678</v>
      </c>
      <c r="Y356" s="156">
        <f t="shared" si="130"/>
        <v>100</v>
      </c>
      <c r="Z356" s="156">
        <f t="shared" si="130"/>
        <v>76.473806467078049</v>
      </c>
      <c r="AA356" s="156">
        <f t="shared" si="130"/>
        <v>255.85945021888676</v>
      </c>
      <c r="AB356" s="4"/>
      <c r="AC356" s="4"/>
      <c r="AD356" s="4"/>
      <c r="AE356" s="339" t="s">
        <v>227</v>
      </c>
      <c r="AF356" s="340"/>
      <c r="AG356" s="340"/>
      <c r="AH356" s="340"/>
      <c r="AI356" s="340"/>
      <c r="AJ356" s="340"/>
      <c r="AK356" s="340"/>
      <c r="AL356" s="340"/>
      <c r="AM356" s="340"/>
      <c r="AN356" s="1"/>
      <c r="AO356" s="1"/>
      <c r="AP356" s="1"/>
      <c r="AQ356" s="1"/>
      <c r="AR356" s="1"/>
      <c r="AS356" s="1"/>
      <c r="AT356" s="1"/>
      <c r="AU356" s="1"/>
      <c r="AY356" s="38"/>
      <c r="AZ356" s="38"/>
      <c r="BC356" s="1"/>
      <c r="BD356" s="19"/>
      <c r="BE356" s="41"/>
      <c r="BF356" s="41"/>
      <c r="BG356" s="91"/>
      <c r="BH356" s="70"/>
      <c r="BI356" s="41"/>
      <c r="BJ356" s="4"/>
      <c r="BK356" s="41"/>
      <c r="BL356" s="41"/>
      <c r="BM356" s="41"/>
      <c r="BN356" s="41"/>
      <c r="BO356" s="41"/>
      <c r="BP356" s="4"/>
    </row>
    <row r="357" spans="1:68" s="5" customFormat="1" ht="11.25" customHeight="1" x14ac:dyDescent="0.25">
      <c r="A357" s="37" t="s">
        <v>67</v>
      </c>
      <c r="B357" s="25"/>
      <c r="C357" s="25"/>
      <c r="D357" s="25"/>
      <c r="F357" s="29"/>
      <c r="G357" s="29"/>
      <c r="H357" s="136" t="str">
        <f t="shared" si="129"/>
        <v>Breskve namizne</v>
      </c>
      <c r="I357" s="1"/>
      <c r="J357" s="19"/>
      <c r="K357" s="35">
        <v>0</v>
      </c>
      <c r="L357" s="35">
        <v>0</v>
      </c>
      <c r="M357" s="36"/>
      <c r="N357" s="36"/>
      <c r="O357" s="35">
        <v>0</v>
      </c>
      <c r="P357" s="35">
        <v>0</v>
      </c>
      <c r="Q357" s="35">
        <v>0</v>
      </c>
      <c r="R357" s="35">
        <v>0</v>
      </c>
      <c r="S357" s="35">
        <v>0</v>
      </c>
      <c r="T357" s="35"/>
      <c r="U357" s="35"/>
      <c r="V357" s="1"/>
      <c r="W357" s="4"/>
      <c r="X357" s="4"/>
      <c r="Y357" s="4"/>
      <c r="Z357" s="4"/>
      <c r="AA357" s="4"/>
      <c r="AB357" s="4"/>
      <c r="AC357" s="4"/>
      <c r="AD357" s="4"/>
      <c r="AE357" s="192" t="str">
        <f>AF$10&amp;""&amp;$L$56</f>
        <v>prva ocena letine 2021</v>
      </c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BC357" s="1"/>
      <c r="BD357" s="19"/>
      <c r="BE357" s="35"/>
      <c r="BF357" s="35"/>
      <c r="BG357" s="91"/>
      <c r="BH357" s="35"/>
      <c r="BI357" s="36"/>
      <c r="BJ357" s="36"/>
      <c r="BK357" s="35"/>
      <c r="BL357" s="35"/>
      <c r="BM357" s="35"/>
      <c r="BN357" s="35"/>
      <c r="BO357" s="35"/>
      <c r="BP357" s="4"/>
    </row>
    <row r="358" spans="1:68" s="5" customFormat="1" ht="10.199999999999999" x14ac:dyDescent="0.2">
      <c r="A358" s="25"/>
      <c r="B358" s="25"/>
      <c r="C358" s="25"/>
      <c r="D358" s="25"/>
      <c r="H358" s="136" t="str">
        <f>+I360</f>
        <v>Grozdje-vertikala podravska</v>
      </c>
      <c r="I358" s="141" t="s">
        <v>148</v>
      </c>
      <c r="J358" s="140"/>
      <c r="K358" s="140"/>
      <c r="L358" s="140"/>
      <c r="M358" s="140"/>
      <c r="N358" s="140"/>
      <c r="O358" s="140"/>
      <c r="P358" s="140"/>
      <c r="Q358" s="140"/>
      <c r="R358" s="140"/>
      <c r="S358" s="140"/>
      <c r="T358" s="140"/>
      <c r="U358" s="140"/>
      <c r="V358" s="140"/>
      <c r="W358" s="140"/>
      <c r="X358" s="140"/>
      <c r="Y358" s="140"/>
      <c r="Z358" s="140"/>
      <c r="AA358" s="140"/>
      <c r="AB358" s="140"/>
      <c r="AC358" s="140"/>
      <c r="AD358" s="140"/>
      <c r="AE358" s="140"/>
      <c r="AF358" s="140"/>
      <c r="AG358" s="140"/>
      <c r="AH358" s="140"/>
      <c r="AI358" s="140"/>
      <c r="AJ358" s="140"/>
      <c r="AK358" s="140"/>
      <c r="AL358" s="140"/>
      <c r="AM358" s="140"/>
      <c r="AN358" s="1"/>
      <c r="AO358" s="1"/>
      <c r="AP358" s="1"/>
      <c r="AQ358" s="1"/>
      <c r="AR358" s="1"/>
      <c r="AS358" s="1"/>
      <c r="AT358" s="1"/>
      <c r="AU358" s="1"/>
      <c r="BC358" s="13"/>
      <c r="BD358" s="27"/>
      <c r="BE358" s="29"/>
      <c r="BF358" s="29"/>
      <c r="BG358" s="91"/>
      <c r="BH358" s="28"/>
      <c r="BI358" s="27"/>
      <c r="BJ358" s="29"/>
      <c r="BK358" s="29"/>
      <c r="BL358" s="29"/>
      <c r="BM358" s="29"/>
      <c r="BN358" s="29"/>
      <c r="BO358" s="27"/>
      <c r="BP358" s="27"/>
    </row>
    <row r="359" spans="1:68" s="5" customFormat="1" ht="10.199999999999999" x14ac:dyDescent="0.2">
      <c r="A359" s="25"/>
      <c r="B359" s="25"/>
      <c r="C359" s="25"/>
      <c r="D359" s="25"/>
      <c r="H359" s="136" t="str">
        <f t="shared" ref="H359:H395" si="143">+H358</f>
        <v>Grozdje-vertikala podravska</v>
      </c>
      <c r="I359" s="141" t="s">
        <v>149</v>
      </c>
      <c r="J359" s="140"/>
      <c r="K359" s="140" t="str">
        <f>+F360</f>
        <v>grozpod</v>
      </c>
      <c r="L359" s="140" t="str">
        <f>+K359</f>
        <v>grozpod</v>
      </c>
      <c r="M359" s="140"/>
      <c r="N359" s="140"/>
      <c r="O359" s="143" t="s">
        <v>132</v>
      </c>
      <c r="P359" s="143" t="s">
        <v>133</v>
      </c>
      <c r="Q359" s="143" t="s">
        <v>131</v>
      </c>
      <c r="R359" s="143" t="s">
        <v>215</v>
      </c>
      <c r="S359" s="143" t="s">
        <v>214</v>
      </c>
      <c r="T359" s="143" t="s">
        <v>216</v>
      </c>
      <c r="U359" s="140"/>
      <c r="V359" s="140"/>
      <c r="W359" s="140"/>
      <c r="X359" s="140"/>
      <c r="Y359" s="140"/>
      <c r="Z359" s="140"/>
      <c r="AA359" s="140"/>
      <c r="AB359" s="140"/>
      <c r="AC359" s="140"/>
      <c r="AD359" s="140"/>
      <c r="AE359" s="140"/>
      <c r="AF359" s="140"/>
      <c r="AG359" s="140"/>
      <c r="AH359" s="140"/>
      <c r="AI359" s="140"/>
      <c r="AJ359" s="140"/>
      <c r="AK359" s="140"/>
      <c r="AL359" s="140"/>
      <c r="AM359" s="140"/>
      <c r="AN359" s="1"/>
      <c r="AO359" s="1"/>
      <c r="AP359" s="1"/>
      <c r="AQ359" s="1"/>
      <c r="AR359" s="1"/>
      <c r="AS359" s="1"/>
      <c r="AT359" s="1"/>
      <c r="AU359" s="1"/>
      <c r="BC359" s="13"/>
      <c r="BD359" s="27"/>
      <c r="BE359" s="12"/>
      <c r="BF359" s="12"/>
      <c r="BG359" s="91"/>
      <c r="BH359" s="68"/>
      <c r="BI359" s="68"/>
      <c r="BJ359" s="68"/>
      <c r="BK359" s="12"/>
      <c r="BL359" s="12"/>
      <c r="BM359" s="12"/>
      <c r="BN359" s="12"/>
      <c r="BO359" s="27"/>
      <c r="BP359" s="27"/>
    </row>
    <row r="360" spans="1:68" s="5" customFormat="1" ht="12" customHeight="1" x14ac:dyDescent="0.25">
      <c r="A360" s="25"/>
      <c r="B360" s="25"/>
      <c r="C360" s="25"/>
      <c r="D360" s="25"/>
      <c r="F360" s="5" t="s">
        <v>123</v>
      </c>
      <c r="H360" s="136" t="str">
        <f t="shared" si="143"/>
        <v>Grozdje-vertikala podravska</v>
      </c>
      <c r="I360" s="149" t="s">
        <v>268</v>
      </c>
      <c r="J360" s="158"/>
      <c r="K360" s="185">
        <f>K$52</f>
        <v>2020</v>
      </c>
      <c r="L360" s="185">
        <f>+L$56</f>
        <v>2021</v>
      </c>
      <c r="M360" s="341" t="str">
        <f>"Indeks "&amp;L360&amp;"/"&amp;$K360</f>
        <v>Indeks 2021/2020</v>
      </c>
      <c r="N360" s="186"/>
      <c r="O360" s="179"/>
      <c r="P360" s="179"/>
      <c r="Q360" s="179" t="str">
        <f>+L360&amp;" "&amp;L$51</f>
        <v>2021 (prva ocena)</v>
      </c>
      <c r="R360" s="179"/>
      <c r="S360" s="179"/>
      <c r="T360" s="179"/>
      <c r="U360" s="142"/>
      <c r="V360" s="142"/>
      <c r="W360" s="179"/>
      <c r="X360" s="179"/>
      <c r="Y360" s="179" t="s">
        <v>160</v>
      </c>
      <c r="Z360" s="179"/>
      <c r="AA360" s="179"/>
      <c r="AB360" s="179"/>
      <c r="AC360" s="66"/>
      <c r="AD360" s="66"/>
      <c r="AE360" s="66"/>
      <c r="AF360" s="66"/>
      <c r="AG360" s="66"/>
      <c r="AH360" s="66"/>
      <c r="AI360" s="66"/>
      <c r="AJ360" s="66"/>
      <c r="AK360" s="66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BC360" s="103"/>
      <c r="BD360" s="1"/>
      <c r="BE360" s="66"/>
      <c r="BF360" s="66"/>
      <c r="BG360" s="91"/>
      <c r="BH360" s="34"/>
      <c r="BI360" s="67"/>
      <c r="BJ360" s="34"/>
      <c r="BK360" s="66"/>
      <c r="BL360" s="66"/>
      <c r="BM360" s="66"/>
      <c r="BN360" s="66"/>
      <c r="BO360" s="66"/>
      <c r="BP360" s="66"/>
    </row>
    <row r="361" spans="1:68" s="5" customFormat="1" ht="12" x14ac:dyDescent="0.25">
      <c r="A361" s="25"/>
      <c r="B361" s="25"/>
      <c r="C361" s="25"/>
      <c r="D361" s="25"/>
      <c r="H361" s="136" t="str">
        <f t="shared" si="143"/>
        <v>Grozdje-vertikala podravska</v>
      </c>
      <c r="I361" s="150" t="s">
        <v>84</v>
      </c>
      <c r="J361" s="158"/>
      <c r="K361" s="185"/>
      <c r="L361" s="330" t="str">
        <f>IF(ISBLANK(L$51),"",L$51)</f>
        <v>(prva ocena)</v>
      </c>
      <c r="M361" s="342"/>
      <c r="N361" s="186"/>
      <c r="O361" s="187" t="s">
        <v>87</v>
      </c>
      <c r="P361" s="185" t="s">
        <v>86</v>
      </c>
      <c r="Q361" s="214" t="s">
        <v>85</v>
      </c>
      <c r="R361" s="185" t="s">
        <v>77</v>
      </c>
      <c r="S361" s="185" t="s">
        <v>97</v>
      </c>
      <c r="T361" s="205" t="s">
        <v>158</v>
      </c>
      <c r="U361" s="191"/>
      <c r="V361" s="191"/>
      <c r="W361" s="188" t="str">
        <f>O361</f>
        <v>M1</v>
      </c>
      <c r="X361" s="185" t="str">
        <f t="shared" ref="X361:AB361" si="144">P361</f>
        <v>M2</v>
      </c>
      <c r="Y361" s="214" t="str">
        <f t="shared" si="144"/>
        <v>M3</v>
      </c>
      <c r="Z361" s="185" t="str">
        <f t="shared" si="144"/>
        <v>M4</v>
      </c>
      <c r="AA361" s="185" t="str">
        <f t="shared" si="144"/>
        <v>M5</v>
      </c>
      <c r="AB361" s="188" t="str">
        <f t="shared" si="144"/>
        <v>M6</v>
      </c>
      <c r="AC361" s="66"/>
      <c r="AD361" s="66"/>
      <c r="AE361" s="66"/>
      <c r="AF361" s="66"/>
      <c r="AG361" s="66"/>
      <c r="AH361" s="66"/>
      <c r="AI361" s="66"/>
      <c r="AJ361" s="66"/>
      <c r="AK361" s="66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BC361" s="9"/>
      <c r="BD361" s="1"/>
      <c r="BE361" s="66"/>
      <c r="BF361" s="66"/>
      <c r="BG361" s="91"/>
      <c r="BH361" s="34"/>
      <c r="BI361" s="66"/>
      <c r="BJ361" s="66"/>
      <c r="BK361" s="66"/>
      <c r="BL361" s="66"/>
      <c r="BM361" s="66"/>
      <c r="BN361" s="66"/>
      <c r="BO361" s="66"/>
      <c r="BP361" s="66"/>
    </row>
    <row r="362" spans="1:68" s="5" customFormat="1" ht="10.199999999999999" x14ac:dyDescent="0.2">
      <c r="A362" s="25" t="s">
        <v>22</v>
      </c>
      <c r="B362" s="25"/>
      <c r="C362" s="25"/>
      <c r="D362" s="25"/>
      <c r="H362" s="136" t="str">
        <f t="shared" si="143"/>
        <v>Grozdje-vertikala podravska</v>
      </c>
      <c r="I362" s="9" t="s">
        <v>21</v>
      </c>
      <c r="J362" s="159" t="s">
        <v>20</v>
      </c>
      <c r="K362" s="160">
        <v>8000</v>
      </c>
      <c r="L362" s="160">
        <v>8000</v>
      </c>
      <c r="M362" s="160"/>
      <c r="N362" s="78"/>
      <c r="O362" s="178">
        <v>12000</v>
      </c>
      <c r="P362" s="178">
        <v>10000</v>
      </c>
      <c r="Q362" s="178">
        <v>8000</v>
      </c>
      <c r="R362" s="178">
        <v>7000</v>
      </c>
      <c r="S362" s="178">
        <v>10125</v>
      </c>
      <c r="T362" s="178">
        <v>9000</v>
      </c>
      <c r="U362" s="2"/>
      <c r="V362" s="2"/>
      <c r="W362" s="62">
        <f>O362/$Q362*100</f>
        <v>150</v>
      </c>
      <c r="X362" s="62">
        <f t="shared" ref="X362:AB364" si="145">P362/$Q362*100</f>
        <v>125</v>
      </c>
      <c r="Y362" s="62">
        <f t="shared" si="145"/>
        <v>100</v>
      </c>
      <c r="Z362" s="62">
        <f t="shared" si="145"/>
        <v>87.5</v>
      </c>
      <c r="AA362" s="62">
        <f t="shared" si="145"/>
        <v>126.5625</v>
      </c>
      <c r="AB362" s="62">
        <f t="shared" si="145"/>
        <v>112.5</v>
      </c>
      <c r="AC362" s="82"/>
      <c r="AD362" s="82"/>
      <c r="AE362" s="82"/>
      <c r="AF362" s="82"/>
      <c r="AG362" s="82"/>
      <c r="AH362" s="82"/>
      <c r="AI362" s="82"/>
      <c r="AJ362" s="82"/>
      <c r="AK362" s="82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BC362" s="9"/>
      <c r="BD362" s="1"/>
      <c r="BE362" s="20"/>
      <c r="BF362" s="20"/>
      <c r="BG362" s="91"/>
      <c r="BH362" s="80"/>
      <c r="BI362" s="78"/>
      <c r="BJ362" s="78"/>
      <c r="BK362" s="20"/>
      <c r="BL362" s="20"/>
      <c r="BM362" s="20"/>
      <c r="BN362" s="20"/>
      <c r="BO362" s="78"/>
      <c r="BP362" s="66"/>
    </row>
    <row r="363" spans="1:68" s="5" customFormat="1" ht="10.199999999999999" x14ac:dyDescent="0.2">
      <c r="A363" s="25"/>
      <c r="B363" s="25"/>
      <c r="C363" s="25"/>
      <c r="D363" s="25"/>
      <c r="H363" s="136" t="str">
        <f t="shared" si="143"/>
        <v>Grozdje-vertikala podravska</v>
      </c>
      <c r="I363" s="9" t="s">
        <v>203</v>
      </c>
      <c r="J363" s="159" t="s">
        <v>75</v>
      </c>
      <c r="K363" s="161">
        <f>K362/K364</f>
        <v>2</v>
      </c>
      <c r="L363" s="161">
        <f>L362/L364</f>
        <v>2</v>
      </c>
      <c r="M363" s="160"/>
      <c r="N363" s="78"/>
      <c r="O363" s="216">
        <f>O362/O364</f>
        <v>3</v>
      </c>
      <c r="P363" s="216">
        <f>P362/P364</f>
        <v>2.5</v>
      </c>
      <c r="Q363" s="216">
        <f>Q362/Q364</f>
        <v>2</v>
      </c>
      <c r="R363" s="216">
        <f>R362/R364</f>
        <v>1.75</v>
      </c>
      <c r="S363" s="216">
        <f t="shared" ref="S363:T363" si="146">S362/S364</f>
        <v>2.25</v>
      </c>
      <c r="T363" s="216">
        <f t="shared" si="146"/>
        <v>2</v>
      </c>
      <c r="U363" s="1"/>
      <c r="V363" s="1"/>
      <c r="W363" s="62">
        <f t="shared" ref="W363:W364" si="147">O363/$Q363*100</f>
        <v>150</v>
      </c>
      <c r="X363" s="62">
        <f t="shared" si="145"/>
        <v>125</v>
      </c>
      <c r="Y363" s="62">
        <f t="shared" si="145"/>
        <v>100</v>
      </c>
      <c r="Z363" s="62">
        <f t="shared" si="145"/>
        <v>87.5</v>
      </c>
      <c r="AA363" s="62">
        <f t="shared" si="145"/>
        <v>112.5</v>
      </c>
      <c r="AB363" s="62">
        <f t="shared" si="145"/>
        <v>100</v>
      </c>
      <c r="AC363" s="82"/>
      <c r="AD363" s="82"/>
      <c r="AE363" s="82"/>
      <c r="AF363" s="82"/>
      <c r="AG363" s="82"/>
      <c r="AH363" s="82"/>
      <c r="AI363" s="82"/>
      <c r="AJ363" s="82"/>
      <c r="AK363" s="82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BC363" s="9"/>
      <c r="BD363" s="1"/>
      <c r="BE363" s="81"/>
      <c r="BF363" s="81"/>
      <c r="BG363" s="91"/>
      <c r="BH363" s="83"/>
      <c r="BI363" s="81"/>
      <c r="BJ363" s="81"/>
      <c r="BK363" s="81"/>
      <c r="BL363" s="81"/>
      <c r="BM363" s="81"/>
      <c r="BN363" s="81"/>
      <c r="BO363" s="78"/>
      <c r="BP363" s="66"/>
    </row>
    <row r="364" spans="1:68" s="5" customFormat="1" x14ac:dyDescent="0.25">
      <c r="A364" s="60" t="s">
        <v>199</v>
      </c>
      <c r="B364" s="25"/>
      <c r="C364" s="25"/>
      <c r="D364" s="25"/>
      <c r="H364" s="136" t="str">
        <f t="shared" si="143"/>
        <v>Grozdje-vertikala podravska</v>
      </c>
      <c r="I364" s="9" t="s">
        <v>74</v>
      </c>
      <c r="J364" s="162" t="s">
        <v>73</v>
      </c>
      <c r="K364" s="160">
        <v>4000</v>
      </c>
      <c r="L364" s="160">
        <v>4000</v>
      </c>
      <c r="M364" s="161"/>
      <c r="N364" s="137"/>
      <c r="O364" s="178">
        <v>4000</v>
      </c>
      <c r="P364" s="178">
        <v>4000</v>
      </c>
      <c r="Q364" s="178">
        <v>4000</v>
      </c>
      <c r="R364" s="178">
        <v>4000</v>
      </c>
      <c r="S364" s="178">
        <v>4500</v>
      </c>
      <c r="T364" s="178">
        <v>4500</v>
      </c>
      <c r="U364" s="1"/>
      <c r="V364" s="1"/>
      <c r="W364" s="62">
        <f t="shared" si="147"/>
        <v>100</v>
      </c>
      <c r="X364" s="62">
        <f t="shared" si="145"/>
        <v>100</v>
      </c>
      <c r="Y364" s="62">
        <f t="shared" si="145"/>
        <v>100</v>
      </c>
      <c r="Z364" s="62">
        <f t="shared" si="145"/>
        <v>100</v>
      </c>
      <c r="AA364" s="62">
        <f t="shared" si="145"/>
        <v>112.5</v>
      </c>
      <c r="AB364" s="62">
        <f t="shared" si="145"/>
        <v>112.5</v>
      </c>
      <c r="AC364" s="82"/>
      <c r="AD364" s="82"/>
      <c r="AE364" s="82"/>
      <c r="AF364" s="82"/>
      <c r="AG364" s="82"/>
      <c r="AH364" s="82"/>
      <c r="AI364" s="82"/>
      <c r="AJ364" s="82"/>
      <c r="AK364" s="82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BC364" s="9"/>
      <c r="BD364" s="1"/>
      <c r="BE364" s="78"/>
      <c r="BF364" s="78"/>
      <c r="BG364" s="91"/>
      <c r="BH364" s="80"/>
      <c r="BI364" s="78"/>
      <c r="BJ364" s="78"/>
      <c r="BK364" s="78"/>
      <c r="BL364" s="78"/>
      <c r="BM364" s="78"/>
      <c r="BN364" s="78"/>
      <c r="BO364" s="79"/>
      <c r="BP364" s="30"/>
    </row>
    <row r="365" spans="1:68" s="5" customFormat="1" ht="6" customHeight="1" x14ac:dyDescent="0.25">
      <c r="A365" s="60"/>
      <c r="B365" s="25"/>
      <c r="C365" s="25"/>
      <c r="D365" s="25"/>
      <c r="H365" s="136" t="str">
        <f t="shared" si="143"/>
        <v>Grozdje-vertikala podravska</v>
      </c>
      <c r="I365" s="9"/>
      <c r="J365" s="159"/>
      <c r="K365" s="163"/>
      <c r="L365" s="163"/>
      <c r="M365" s="164"/>
      <c r="N365" s="8"/>
      <c r="O365" s="177"/>
      <c r="P365" s="177"/>
      <c r="Q365" s="177"/>
      <c r="R365" s="177"/>
      <c r="S365" s="177"/>
      <c r="T365" s="177"/>
      <c r="U365" s="1"/>
      <c r="V365" s="1"/>
      <c r="W365" s="62"/>
      <c r="X365" s="62"/>
      <c r="Y365" s="62"/>
      <c r="Z365" s="62"/>
      <c r="AA365" s="62"/>
      <c r="AB365" s="62"/>
      <c r="AC365" s="26"/>
      <c r="AD365" s="26"/>
      <c r="AE365" s="26"/>
      <c r="AF365" s="26"/>
      <c r="AG365" s="26"/>
      <c r="AH365" s="26"/>
      <c r="AI365" s="26"/>
      <c r="AJ365" s="26"/>
      <c r="AK365" s="26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BC365" s="9"/>
      <c r="BD365" s="1"/>
      <c r="BE365" s="78"/>
      <c r="BF365" s="78"/>
      <c r="BG365" s="91"/>
      <c r="BH365" s="80"/>
      <c r="BI365" s="78"/>
      <c r="BJ365" s="78"/>
      <c r="BK365" s="78"/>
      <c r="BL365" s="78"/>
      <c r="BM365" s="78"/>
      <c r="BN365" s="78"/>
      <c r="BO365" s="79"/>
      <c r="BP365" s="30"/>
    </row>
    <row r="366" spans="1:68" s="5" customFormat="1" ht="11.25" customHeight="1" x14ac:dyDescent="0.2">
      <c r="A366" s="25"/>
      <c r="B366" s="25"/>
      <c r="C366" s="25"/>
      <c r="D366" s="25"/>
      <c r="H366" s="136" t="str">
        <f t="shared" si="143"/>
        <v>Grozdje-vertikala podravska</v>
      </c>
      <c r="I366" s="151" t="str">
        <f>+I$62</f>
        <v>IZVLEČEK ANALITIČNE KALKULACIJE</v>
      </c>
      <c r="J366" s="165"/>
      <c r="K366" s="166"/>
      <c r="L366" s="166"/>
      <c r="M366" s="167"/>
      <c r="N366" s="1"/>
      <c r="O366" s="166"/>
      <c r="P366" s="166"/>
      <c r="Q366" s="166"/>
      <c r="R366" s="166"/>
      <c r="S366" s="166"/>
      <c r="T366" s="166"/>
      <c r="U366" s="1"/>
      <c r="V366" s="1"/>
      <c r="W366" s="154"/>
      <c r="X366" s="154"/>
      <c r="Y366" s="154"/>
      <c r="Z366" s="154"/>
      <c r="AA366" s="154"/>
      <c r="AB366" s="154"/>
      <c r="AC366" s="76"/>
      <c r="AD366" s="76"/>
      <c r="AE366" s="76"/>
      <c r="AF366" s="76"/>
      <c r="AG366" s="76"/>
      <c r="AH366" s="76"/>
      <c r="AI366" s="76"/>
      <c r="AJ366" s="76"/>
      <c r="AK366" s="76"/>
      <c r="AL366" s="1"/>
      <c r="AM366" s="9"/>
      <c r="AN366" s="1"/>
      <c r="AO366" s="1"/>
      <c r="AP366" s="1"/>
      <c r="AQ366" s="1"/>
      <c r="AR366" s="1"/>
      <c r="AS366" s="1"/>
      <c r="AT366" s="1"/>
      <c r="AU366" s="1"/>
      <c r="BC366" s="9"/>
      <c r="BD366" s="1"/>
      <c r="BE366" s="77"/>
      <c r="BF366" s="77"/>
      <c r="BG366" s="91"/>
      <c r="BH366" s="24"/>
      <c r="BI366" s="1"/>
      <c r="BJ366" s="1"/>
      <c r="BK366" s="77"/>
      <c r="BL366" s="77"/>
      <c r="BM366" s="77"/>
      <c r="BN366" s="77"/>
      <c r="BO366" s="77"/>
      <c r="BP366" s="76"/>
    </row>
    <row r="367" spans="1:68" s="5" customFormat="1" ht="11.25" customHeight="1" x14ac:dyDescent="0.2">
      <c r="A367" s="25"/>
      <c r="B367" s="25"/>
      <c r="C367" s="25"/>
      <c r="D367" s="25"/>
      <c r="H367" s="136" t="str">
        <f t="shared" si="143"/>
        <v>Grozdje-vertikala podravska</v>
      </c>
      <c r="I367" s="151" t="str">
        <f>+I$63</f>
        <v>Stroški blaga in storitev</v>
      </c>
      <c r="J367" s="168" t="str">
        <f>+J$63</f>
        <v>EUR/ha</v>
      </c>
      <c r="K367" s="169">
        <f>+K377-K375-K374</f>
        <v>3982.5973761154273</v>
      </c>
      <c r="L367" s="169">
        <f>+L377-L375-L374</f>
        <v>4229.869462388795</v>
      </c>
      <c r="M367" s="170">
        <f>L367/K367*100</f>
        <v>106.20881457303007</v>
      </c>
      <c r="N367" s="8"/>
      <c r="O367" s="169">
        <f>+O377-O375-O374</f>
        <v>4713.6116444174259</v>
      </c>
      <c r="P367" s="169">
        <f>+P377-P375-P374</f>
        <v>4502.77153730178</v>
      </c>
      <c r="Q367" s="169">
        <f>+Q377-Q375-Q374</f>
        <v>4229.869462388795</v>
      </c>
      <c r="R367" s="169">
        <f>+R377-R375-R374</f>
        <v>4072.5400077086683</v>
      </c>
      <c r="S367" s="169">
        <f t="shared" ref="S367:T367" si="148">+S377-S375-S374</f>
        <v>4732.1491691814399</v>
      </c>
      <c r="T367" s="169">
        <f t="shared" si="148"/>
        <v>4602.5264722366319</v>
      </c>
      <c r="U367" s="1"/>
      <c r="V367" s="9"/>
      <c r="W367" s="155">
        <f>O367/$Q367*100</f>
        <v>111.43633831563777</v>
      </c>
      <c r="X367" s="155">
        <f t="shared" ref="X367:AB367" si="149">P367/$Q367*100</f>
        <v>106.45178479713331</v>
      </c>
      <c r="Y367" s="155">
        <f t="shared" si="149"/>
        <v>100</v>
      </c>
      <c r="Z367" s="155">
        <f t="shared" si="149"/>
        <v>96.280512765723131</v>
      </c>
      <c r="AA367" s="155">
        <f t="shared" si="149"/>
        <v>111.87459119622535</v>
      </c>
      <c r="AB367" s="155">
        <f t="shared" si="149"/>
        <v>108.81013026906463</v>
      </c>
      <c r="AC367" s="8"/>
      <c r="AD367" s="8"/>
      <c r="AE367" s="8"/>
      <c r="AF367" s="8"/>
      <c r="AG367" s="8"/>
      <c r="AH367" s="8"/>
      <c r="AI367" s="8"/>
      <c r="AJ367" s="8"/>
      <c r="AK367" s="8"/>
      <c r="AL367" s="9"/>
      <c r="AM367" s="1"/>
      <c r="AN367" s="1"/>
      <c r="AO367" s="1"/>
      <c r="AP367" s="1"/>
      <c r="AQ367" s="1"/>
      <c r="AR367" s="1"/>
      <c r="AS367" s="1"/>
      <c r="AT367" s="1"/>
      <c r="AU367" s="1"/>
      <c r="AY367" s="38"/>
      <c r="AZ367" s="38"/>
      <c r="BC367" s="9"/>
      <c r="BD367" s="9"/>
      <c r="BE367" s="18"/>
      <c r="BF367" s="18"/>
      <c r="BG367" s="91"/>
      <c r="BH367" s="18"/>
      <c r="BI367" s="18"/>
      <c r="BJ367" s="18"/>
      <c r="BK367" s="18"/>
      <c r="BL367" s="18"/>
      <c r="BM367" s="18"/>
      <c r="BN367" s="18"/>
      <c r="BO367" s="18"/>
      <c r="BP367" s="8"/>
    </row>
    <row r="368" spans="1:68" s="5" customFormat="1" ht="11.25" customHeight="1" x14ac:dyDescent="0.2">
      <c r="A368" s="25" t="s">
        <v>19</v>
      </c>
      <c r="B368" s="25"/>
      <c r="C368" s="25"/>
      <c r="D368" s="25"/>
      <c r="H368" s="136" t="str">
        <f t="shared" si="143"/>
        <v>Grozdje-vertikala podravska</v>
      </c>
      <c r="I368" s="152" t="str">
        <f>+I$64</f>
        <v xml:space="preserve">  Od tega: seme</v>
      </c>
      <c r="J368" s="165" t="str">
        <f>+J$64</f>
        <v>EUR/ha</v>
      </c>
      <c r="K368" s="171">
        <v>0</v>
      </c>
      <c r="L368" s="171">
        <v>0</v>
      </c>
      <c r="M368" s="172"/>
      <c r="N368" s="8"/>
      <c r="O368" s="171">
        <v>0</v>
      </c>
      <c r="P368" s="171">
        <v>0</v>
      </c>
      <c r="Q368" s="171">
        <v>0</v>
      </c>
      <c r="R368" s="171">
        <v>0</v>
      </c>
      <c r="S368" s="171">
        <v>0</v>
      </c>
      <c r="T368" s="171">
        <v>0</v>
      </c>
      <c r="U368" s="1"/>
      <c r="V368" s="1"/>
      <c r="W368" s="156"/>
      <c r="X368" s="156"/>
      <c r="Y368" s="156"/>
      <c r="Z368" s="156"/>
      <c r="AA368" s="156"/>
      <c r="AB368" s="156"/>
      <c r="AC368" s="4"/>
      <c r="AD368" s="4"/>
      <c r="AE368" s="4"/>
      <c r="AF368" s="4"/>
      <c r="AG368" s="4"/>
      <c r="AH368" s="4"/>
      <c r="AI368" s="4"/>
      <c r="AJ368" s="4"/>
      <c r="AK368" s="4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Y368" s="38"/>
      <c r="AZ368" s="38"/>
      <c r="BC368" s="1"/>
      <c r="BD368" s="1"/>
      <c r="BE368" s="7"/>
      <c r="BF368" s="7"/>
      <c r="BG368" s="91"/>
      <c r="BH368" s="70"/>
      <c r="BI368" s="7"/>
      <c r="BJ368" s="4"/>
      <c r="BK368" s="7"/>
      <c r="BL368" s="7"/>
      <c r="BM368" s="7"/>
      <c r="BN368" s="7"/>
      <c r="BO368" s="7"/>
      <c r="BP368" s="4"/>
    </row>
    <row r="369" spans="1:68" s="5" customFormat="1" ht="11.25" customHeight="1" x14ac:dyDescent="0.2">
      <c r="A369" s="25" t="s">
        <v>18</v>
      </c>
      <c r="B369" s="25" t="s">
        <v>17</v>
      </c>
      <c r="C369" s="25"/>
      <c r="D369" s="25"/>
      <c r="H369" s="136" t="str">
        <f t="shared" si="143"/>
        <v>Grozdje-vertikala podravska</v>
      </c>
      <c r="I369" s="152" t="str">
        <f>+I$65</f>
        <v xml:space="preserve">                 gnojila</v>
      </c>
      <c r="J369" s="165" t="str">
        <f>+J$65</f>
        <v>EUR/ha</v>
      </c>
      <c r="K369" s="171">
        <v>133.99971469233103</v>
      </c>
      <c r="L369" s="171">
        <v>136.90225042535883</v>
      </c>
      <c r="M369" s="172">
        <f t="shared" ref="M369:M377" si="150">L369/K369*100</f>
        <v>102.16607605448426</v>
      </c>
      <c r="N369" s="8"/>
      <c r="O369" s="171">
        <v>180.71731605758802</v>
      </c>
      <c r="P369" s="171">
        <v>168.54577578311992</v>
      </c>
      <c r="Q369" s="171">
        <v>136.90225042535883</v>
      </c>
      <c r="R369" s="171">
        <v>119.75279746251131</v>
      </c>
      <c r="S369" s="171">
        <v>169.93341154732798</v>
      </c>
      <c r="T369" s="171">
        <v>154.05170338820633</v>
      </c>
      <c r="U369" s="1"/>
      <c r="V369" s="1"/>
      <c r="W369" s="156">
        <f t="shared" ref="W369:AB377" si="151">O369/$Q369*100</f>
        <v>132.00463505610364</v>
      </c>
      <c r="X369" s="156">
        <f t="shared" si="151"/>
        <v>123.11395558469189</v>
      </c>
      <c r="Y369" s="156">
        <f t="shared" si="151"/>
        <v>100</v>
      </c>
      <c r="Z369" s="156">
        <f t="shared" si="151"/>
        <v>87.473213252840083</v>
      </c>
      <c r="AA369" s="156">
        <f t="shared" si="151"/>
        <v>124.12755160659556</v>
      </c>
      <c r="AB369" s="156">
        <f t="shared" si="151"/>
        <v>112.5267867471599</v>
      </c>
      <c r="AC369" s="4"/>
      <c r="AD369" s="4"/>
      <c r="AE369" s="4"/>
      <c r="AF369" s="4"/>
      <c r="AG369" s="4"/>
      <c r="AH369" s="4"/>
      <c r="AI369" s="4"/>
      <c r="AJ369" s="4"/>
      <c r="AK369" s="4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Y369" s="38"/>
      <c r="AZ369" s="38"/>
      <c r="BC369" s="1"/>
      <c r="BD369" s="1"/>
      <c r="BE369" s="7"/>
      <c r="BF369" s="7"/>
      <c r="BG369" s="91"/>
      <c r="BH369" s="70"/>
      <c r="BI369" s="7"/>
      <c r="BJ369" s="4"/>
      <c r="BK369" s="7"/>
      <c r="BL369" s="7"/>
      <c r="BM369" s="7"/>
      <c r="BN369" s="7"/>
      <c r="BO369" s="7"/>
      <c r="BP369" s="4"/>
    </row>
    <row r="370" spans="1:68" s="5" customFormat="1" ht="11.25" customHeight="1" x14ac:dyDescent="0.2">
      <c r="A370" s="25" t="s">
        <v>16</v>
      </c>
      <c r="B370" s="25"/>
      <c r="C370" s="25"/>
      <c r="D370" s="25"/>
      <c r="H370" s="136" t="str">
        <f t="shared" si="143"/>
        <v>Grozdje-vertikala podravska</v>
      </c>
      <c r="I370" s="152" t="str">
        <f>+I$66</f>
        <v xml:space="preserve">                 sredstva za varstvo</v>
      </c>
      <c r="J370" s="165" t="str">
        <f>+J$66</f>
        <v>EUR/ha</v>
      </c>
      <c r="K370" s="171">
        <v>986.5518744000002</v>
      </c>
      <c r="L370" s="171">
        <v>1010.2515743999999</v>
      </c>
      <c r="M370" s="172">
        <f t="shared" si="150"/>
        <v>102.40227611086476</v>
      </c>
      <c r="N370" s="8"/>
      <c r="O370" s="171">
        <v>1010.2515743999999</v>
      </c>
      <c r="P370" s="171">
        <v>1010.2515743999999</v>
      </c>
      <c r="Q370" s="171">
        <v>1010.2515743999999</v>
      </c>
      <c r="R370" s="171">
        <v>1010.2515743999999</v>
      </c>
      <c r="S370" s="171">
        <v>1010.2515743999999</v>
      </c>
      <c r="T370" s="171">
        <v>1010.2515743999999</v>
      </c>
      <c r="U370" s="1"/>
      <c r="V370" s="1"/>
      <c r="W370" s="156">
        <f t="shared" si="151"/>
        <v>100</v>
      </c>
      <c r="X370" s="156">
        <f t="shared" si="151"/>
        <v>100</v>
      </c>
      <c r="Y370" s="156">
        <f t="shared" si="151"/>
        <v>100</v>
      </c>
      <c r="Z370" s="156">
        <f t="shared" si="151"/>
        <v>100</v>
      </c>
      <c r="AA370" s="156">
        <f t="shared" si="151"/>
        <v>100</v>
      </c>
      <c r="AB370" s="156">
        <f t="shared" si="151"/>
        <v>100</v>
      </c>
      <c r="AC370" s="4"/>
      <c r="AD370" s="4"/>
      <c r="AE370" s="4"/>
      <c r="AF370" s="4"/>
      <c r="AG370" s="4"/>
      <c r="AH370" s="4"/>
      <c r="AI370" s="4"/>
      <c r="AJ370" s="4"/>
      <c r="AK370" s="4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Y370" s="38"/>
      <c r="AZ370" s="38"/>
      <c r="BC370" s="1"/>
      <c r="BD370" s="1"/>
      <c r="BE370" s="7"/>
      <c r="BF370" s="7"/>
      <c r="BG370" s="91"/>
      <c r="BH370" s="70"/>
      <c r="BI370" s="7"/>
      <c r="BJ370" s="4"/>
      <c r="BK370" s="7"/>
      <c r="BL370" s="7"/>
      <c r="BM370" s="7"/>
      <c r="BN370" s="7"/>
      <c r="BO370" s="7"/>
      <c r="BP370" s="4"/>
    </row>
    <row r="371" spans="1:68" s="5" customFormat="1" ht="11.25" customHeight="1" x14ac:dyDescent="0.2">
      <c r="A371" s="25" t="s">
        <v>15</v>
      </c>
      <c r="B371" s="25" t="s">
        <v>14</v>
      </c>
      <c r="C371" s="25" t="s">
        <v>13</v>
      </c>
      <c r="D371" s="25"/>
      <c r="H371" s="136" t="str">
        <f t="shared" si="143"/>
        <v>Grozdje-vertikala podravska</v>
      </c>
      <c r="I371" s="152" t="str">
        <f>+I$67</f>
        <v xml:space="preserve">                 najete storitve</v>
      </c>
      <c r="J371" s="165" t="str">
        <f>+J$67</f>
        <v>EUR/ha</v>
      </c>
      <c r="K371" s="171">
        <v>964.60696450047476</v>
      </c>
      <c r="L371" s="171">
        <v>1050.4040457164369</v>
      </c>
      <c r="M371" s="172">
        <f t="shared" si="150"/>
        <v>108.89451189691466</v>
      </c>
      <c r="N371" s="8"/>
      <c r="O371" s="171">
        <v>1339.2847180311187</v>
      </c>
      <c r="P371" s="171">
        <v>1194.8443818737778</v>
      </c>
      <c r="Q371" s="171">
        <v>1050.4040457164369</v>
      </c>
      <c r="R371" s="171">
        <v>978.1838776377665</v>
      </c>
      <c r="S371" s="171">
        <v>1262.9522405194957</v>
      </c>
      <c r="T371" s="171">
        <v>1181.7045514309916</v>
      </c>
      <c r="U371" s="1"/>
      <c r="V371" s="1"/>
      <c r="W371" s="156">
        <f t="shared" si="151"/>
        <v>127.50186211608204</v>
      </c>
      <c r="X371" s="156">
        <f t="shared" si="151"/>
        <v>113.75093105804102</v>
      </c>
      <c r="Y371" s="156">
        <f t="shared" si="151"/>
        <v>100</v>
      </c>
      <c r="Z371" s="156">
        <f t="shared" si="151"/>
        <v>93.124534470979498</v>
      </c>
      <c r="AA371" s="156">
        <f t="shared" si="151"/>
        <v>120.23489872014805</v>
      </c>
      <c r="AB371" s="156">
        <f t="shared" si="151"/>
        <v>112.5</v>
      </c>
      <c r="AC371" s="4"/>
      <c r="AD371" s="4"/>
      <c r="AE371" s="4"/>
      <c r="AF371" s="4"/>
      <c r="AG371" s="4"/>
      <c r="AH371" s="4"/>
      <c r="AI371" s="4"/>
      <c r="AJ371" s="4"/>
      <c r="AK371" s="4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Y371" s="38"/>
      <c r="AZ371" s="38"/>
      <c r="BC371" s="1"/>
      <c r="BD371" s="1"/>
      <c r="BE371" s="7"/>
      <c r="BF371" s="7"/>
      <c r="BG371" s="91"/>
      <c r="BH371" s="70"/>
      <c r="BI371" s="7"/>
      <c r="BJ371" s="4"/>
      <c r="BK371" s="7"/>
      <c r="BL371" s="7"/>
      <c r="BM371" s="7"/>
      <c r="BN371" s="7"/>
      <c r="BO371" s="7"/>
      <c r="BP371" s="4"/>
    </row>
    <row r="372" spans="1:68" s="5" customFormat="1" ht="11.25" customHeight="1" x14ac:dyDescent="0.2">
      <c r="A372" s="25" t="s">
        <v>12</v>
      </c>
      <c r="B372" s="120" t="s">
        <v>147</v>
      </c>
      <c r="C372" s="25"/>
      <c r="D372" s="25"/>
      <c r="H372" s="136" t="str">
        <f t="shared" si="143"/>
        <v>Grozdje-vertikala podravska</v>
      </c>
      <c r="I372" s="152" t="str">
        <f>+I$68</f>
        <v xml:space="preserve">                 zavarovanje</v>
      </c>
      <c r="J372" s="165" t="str">
        <f>+J$68</f>
        <v>EUR/ha</v>
      </c>
      <c r="K372" s="171">
        <v>358.97478631147544</v>
      </c>
      <c r="L372" s="171">
        <v>323.1177063114755</v>
      </c>
      <c r="M372" s="172">
        <f t="shared" si="150"/>
        <v>90.011253890994041</v>
      </c>
      <c r="N372" s="8"/>
      <c r="O372" s="171">
        <v>363.24348631147541</v>
      </c>
      <c r="P372" s="171">
        <v>363.24348631147546</v>
      </c>
      <c r="Q372" s="171">
        <v>323.1177063114755</v>
      </c>
      <c r="R372" s="171">
        <v>282.77849131147548</v>
      </c>
      <c r="S372" s="171">
        <v>363.24348631147541</v>
      </c>
      <c r="T372" s="171">
        <v>363.24348631147546</v>
      </c>
      <c r="U372" s="1"/>
      <c r="V372" s="1"/>
      <c r="W372" s="156">
        <f t="shared" si="151"/>
        <v>112.41831667414719</v>
      </c>
      <c r="X372" s="156">
        <f t="shared" si="151"/>
        <v>112.41831667414721</v>
      </c>
      <c r="Y372" s="156">
        <f t="shared" si="151"/>
        <v>100</v>
      </c>
      <c r="Z372" s="156">
        <f t="shared" si="151"/>
        <v>87.515628449926467</v>
      </c>
      <c r="AA372" s="156">
        <f t="shared" si="151"/>
        <v>112.41831667414719</v>
      </c>
      <c r="AB372" s="156">
        <f t="shared" si="151"/>
        <v>112.41831667414721</v>
      </c>
      <c r="AC372" s="4"/>
      <c r="AD372" s="4"/>
      <c r="AE372" s="4"/>
      <c r="AF372" s="4"/>
      <c r="AG372" s="4"/>
      <c r="AH372" s="4"/>
      <c r="AI372" s="4"/>
      <c r="AJ372" s="4"/>
      <c r="AK372" s="4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Y372" s="38"/>
      <c r="AZ372" s="38"/>
      <c r="BC372" s="1"/>
      <c r="BD372" s="1"/>
      <c r="BE372" s="7"/>
      <c r="BF372" s="7"/>
      <c r="BG372" s="91"/>
      <c r="BH372" s="70"/>
      <c r="BI372" s="7"/>
      <c r="BJ372" s="4"/>
      <c r="BK372" s="7"/>
      <c r="BL372" s="7"/>
      <c r="BM372" s="7"/>
      <c r="BN372" s="7"/>
      <c r="BO372" s="7"/>
      <c r="BP372" s="4"/>
    </row>
    <row r="373" spans="1:68" s="5" customFormat="1" ht="11.25" customHeight="1" x14ac:dyDescent="0.2">
      <c r="A373" s="25" t="s">
        <v>11</v>
      </c>
      <c r="B373" s="25"/>
      <c r="C373" s="25"/>
      <c r="D373" s="25"/>
      <c r="H373" s="136" t="str">
        <f t="shared" si="143"/>
        <v>Grozdje-vertikala podravska</v>
      </c>
      <c r="I373" s="152" t="str">
        <f>+I$69</f>
        <v xml:space="preserve">                 domače strojne storitve</v>
      </c>
      <c r="J373" s="165" t="str">
        <f>+J$69</f>
        <v>EUR/ha</v>
      </c>
      <c r="K373" s="171">
        <v>1216.3005842397442</v>
      </c>
      <c r="L373" s="171">
        <v>1365.0162741189858</v>
      </c>
      <c r="M373" s="172">
        <f t="shared" si="150"/>
        <v>112.22688633107887</v>
      </c>
      <c r="N373" s="8"/>
      <c r="O373" s="171">
        <v>1452.2346809572653</v>
      </c>
      <c r="P373" s="171">
        <v>1409.6382469439745</v>
      </c>
      <c r="Q373" s="171">
        <v>1365.0162741189858</v>
      </c>
      <c r="R373" s="171">
        <v>1343.4398362974719</v>
      </c>
      <c r="S373" s="171">
        <v>1556.4733811586584</v>
      </c>
      <c r="T373" s="171">
        <v>1530.7463704421016</v>
      </c>
      <c r="U373" s="1"/>
      <c r="V373" s="1"/>
      <c r="W373" s="156">
        <f t="shared" si="151"/>
        <v>106.38955069561879</v>
      </c>
      <c r="X373" s="156">
        <f t="shared" si="151"/>
        <v>103.26897002409652</v>
      </c>
      <c r="Y373" s="156">
        <f t="shared" si="151"/>
        <v>100</v>
      </c>
      <c r="Z373" s="156">
        <f t="shared" si="151"/>
        <v>98.419327429964895</v>
      </c>
      <c r="AA373" s="156">
        <f t="shared" si="151"/>
        <v>114.02599446393</v>
      </c>
      <c r="AB373" s="156">
        <f t="shared" si="151"/>
        <v>112.1412542447585</v>
      </c>
      <c r="AC373" s="4"/>
      <c r="AD373" s="4"/>
      <c r="AE373" s="4"/>
      <c r="AF373" s="4"/>
      <c r="AG373" s="4"/>
      <c r="AH373" s="4"/>
      <c r="AI373" s="4"/>
      <c r="AJ373" s="4"/>
      <c r="AK373" s="4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Y373" s="38"/>
      <c r="AZ373" s="38"/>
      <c r="BC373" s="1"/>
      <c r="BD373" s="1"/>
      <c r="BE373" s="7"/>
      <c r="BF373" s="7"/>
      <c r="BG373" s="91"/>
      <c r="BH373" s="70"/>
      <c r="BI373" s="7"/>
      <c r="BJ373" s="4"/>
      <c r="BK373" s="7"/>
      <c r="BL373" s="7"/>
      <c r="BM373" s="7"/>
      <c r="BN373" s="7"/>
      <c r="BO373" s="7"/>
      <c r="BP373" s="4"/>
    </row>
    <row r="374" spans="1:68" s="5" customFormat="1" ht="11.25" customHeight="1" x14ac:dyDescent="0.2">
      <c r="A374" s="25" t="s">
        <v>10</v>
      </c>
      <c r="B374" s="25"/>
      <c r="C374" s="25"/>
      <c r="D374" s="25"/>
      <c r="H374" s="136" t="str">
        <f t="shared" si="143"/>
        <v>Grozdje-vertikala podravska</v>
      </c>
      <c r="I374" s="152" t="str">
        <f>+I$70</f>
        <v>Amortizacija</v>
      </c>
      <c r="J374" s="165" t="str">
        <f>+J$70</f>
        <v>EUR/ha</v>
      </c>
      <c r="K374" s="171">
        <v>1114.0341530054645</v>
      </c>
      <c r="L374" s="171">
        <v>1188.7008196721313</v>
      </c>
      <c r="M374" s="172">
        <f t="shared" si="150"/>
        <v>106.70236782824203</v>
      </c>
      <c r="N374" s="8"/>
      <c r="O374" s="171">
        <v>1188.7008196721313</v>
      </c>
      <c r="P374" s="171">
        <v>1188.7008196721313</v>
      </c>
      <c r="Q374" s="171">
        <v>1188.7008196721313</v>
      </c>
      <c r="R374" s="171">
        <v>1188.7008196721313</v>
      </c>
      <c r="S374" s="171">
        <v>1247.1208196721311</v>
      </c>
      <c r="T374" s="171">
        <v>1247.1208196721311</v>
      </c>
      <c r="U374" s="1"/>
      <c r="V374" s="1"/>
      <c r="W374" s="156">
        <f t="shared" si="151"/>
        <v>100</v>
      </c>
      <c r="X374" s="156">
        <f t="shared" si="151"/>
        <v>100</v>
      </c>
      <c r="Y374" s="156">
        <f t="shared" si="151"/>
        <v>100</v>
      </c>
      <c r="Z374" s="156">
        <f t="shared" si="151"/>
        <v>100</v>
      </c>
      <c r="AA374" s="156">
        <f t="shared" si="151"/>
        <v>104.91460921311666</v>
      </c>
      <c r="AB374" s="156">
        <f t="shared" si="151"/>
        <v>104.91460921311666</v>
      </c>
      <c r="AC374" s="4"/>
      <c r="AD374" s="4"/>
      <c r="AE374" s="4"/>
      <c r="AF374" s="4"/>
      <c r="AG374" s="4"/>
      <c r="AH374" s="4"/>
      <c r="AI374" s="4"/>
      <c r="AJ374" s="4"/>
      <c r="AK374" s="4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Y374" s="38"/>
      <c r="AZ374" s="38"/>
      <c r="BC374" s="1"/>
      <c r="BD374" s="1"/>
      <c r="BE374" s="7"/>
      <c r="BF374" s="7"/>
      <c r="BG374" s="91"/>
      <c r="BH374" s="70"/>
      <c r="BI374" s="7"/>
      <c r="BJ374" s="4"/>
      <c r="BK374" s="7"/>
      <c r="BL374" s="7"/>
      <c r="BM374" s="7"/>
      <c r="BN374" s="7"/>
      <c r="BO374" s="7"/>
      <c r="BP374" s="4"/>
    </row>
    <row r="375" spans="1:68" s="10" customFormat="1" ht="11.25" customHeight="1" x14ac:dyDescent="0.2">
      <c r="A375" s="54" t="s">
        <v>7</v>
      </c>
      <c r="B375" s="54" t="s">
        <v>9</v>
      </c>
      <c r="C375" s="54" t="s">
        <v>8</v>
      </c>
      <c r="D375" s="54"/>
      <c r="F375" s="5"/>
      <c r="G375" s="5"/>
      <c r="H375" s="136" t="str">
        <f t="shared" si="143"/>
        <v>Grozdje-vertikala podravska</v>
      </c>
      <c r="I375" s="151" t="str">
        <f>+I$71</f>
        <v>Stroški domačega dela in kapitala</v>
      </c>
      <c r="J375" s="168" t="str">
        <f>+J$71</f>
        <v>EUR/ha</v>
      </c>
      <c r="K375" s="169">
        <v>3735.7016753788121</v>
      </c>
      <c r="L375" s="169">
        <v>3943.8704594733354</v>
      </c>
      <c r="M375" s="170">
        <f t="shared" si="150"/>
        <v>105.5724145604698</v>
      </c>
      <c r="N375" s="8"/>
      <c r="O375" s="169">
        <v>4171.6794078404018</v>
      </c>
      <c r="P375" s="169">
        <v>4058.9129889065175</v>
      </c>
      <c r="Q375" s="169">
        <v>3943.8704594733354</v>
      </c>
      <c r="R375" s="169">
        <v>3886.6016204577154</v>
      </c>
      <c r="S375" s="169">
        <v>4456.6924925657959</v>
      </c>
      <c r="T375" s="169">
        <v>4391.8461484340351</v>
      </c>
      <c r="U375" s="1"/>
      <c r="V375" s="9"/>
      <c r="W375" s="155">
        <f t="shared" si="151"/>
        <v>105.77627867618877</v>
      </c>
      <c r="X375" s="155">
        <f t="shared" si="151"/>
        <v>102.916995642107</v>
      </c>
      <c r="Y375" s="155">
        <f t="shared" si="151"/>
        <v>100</v>
      </c>
      <c r="Z375" s="155">
        <f t="shared" si="151"/>
        <v>98.547902635137063</v>
      </c>
      <c r="AA375" s="155">
        <f t="shared" si="151"/>
        <v>113.00301412944842</v>
      </c>
      <c r="AB375" s="155">
        <f t="shared" si="151"/>
        <v>111.35878304229401</v>
      </c>
      <c r="AC375" s="8"/>
      <c r="AD375" s="8"/>
      <c r="AE375" s="8"/>
      <c r="AF375" s="8"/>
      <c r="AG375" s="8"/>
      <c r="AH375" s="8"/>
      <c r="AI375" s="8"/>
      <c r="AJ375" s="8"/>
      <c r="AK375" s="8"/>
      <c r="AL375" s="1"/>
      <c r="AM375" s="1"/>
      <c r="AN375" s="1"/>
      <c r="AO375" s="9"/>
      <c r="AP375" s="9"/>
      <c r="AQ375" s="9"/>
      <c r="AR375" s="9"/>
      <c r="AS375" s="9"/>
      <c r="AT375" s="9"/>
      <c r="AU375" s="9"/>
      <c r="AY375" s="38"/>
      <c r="AZ375" s="38"/>
      <c r="BC375" s="9"/>
      <c r="BD375" s="9"/>
      <c r="BE375" s="6"/>
      <c r="BF375" s="6"/>
      <c r="BG375" s="91"/>
      <c r="BH375" s="71"/>
      <c r="BI375" s="6"/>
      <c r="BJ375" s="8"/>
      <c r="BK375" s="6"/>
      <c r="BL375" s="6"/>
      <c r="BM375" s="6"/>
      <c r="BN375" s="6"/>
      <c r="BO375" s="6"/>
      <c r="BP375" s="8"/>
    </row>
    <row r="376" spans="1:68" s="5" customFormat="1" ht="11.25" customHeight="1" x14ac:dyDescent="0.2">
      <c r="A376" s="25" t="s">
        <v>7</v>
      </c>
      <c r="B376" s="25"/>
      <c r="C376" s="25"/>
      <c r="D376" s="25"/>
      <c r="H376" s="136" t="str">
        <f t="shared" si="143"/>
        <v>Grozdje-vertikala podravska</v>
      </c>
      <c r="I376" s="152" t="str">
        <f>+I$72</f>
        <v xml:space="preserve">  Od tega: domače delo neto</v>
      </c>
      <c r="J376" s="165" t="str">
        <f>+J$72</f>
        <v>EUR/ha</v>
      </c>
      <c r="K376" s="171">
        <v>1742.4947168023007</v>
      </c>
      <c r="L376" s="171">
        <v>1831.3747062871487</v>
      </c>
      <c r="M376" s="172">
        <f t="shared" si="150"/>
        <v>105.10073222190046</v>
      </c>
      <c r="N376" s="8"/>
      <c r="O376" s="171">
        <v>1954.3934053551006</v>
      </c>
      <c r="P376" s="171">
        <v>1893.276966005405</v>
      </c>
      <c r="Q376" s="171">
        <v>1831.3747062871487</v>
      </c>
      <c r="R376" s="171">
        <v>1800.7045969805386</v>
      </c>
      <c r="S376" s="171">
        <v>2093.574624439269</v>
      </c>
      <c r="T376" s="171">
        <v>2058.5149756403453</v>
      </c>
      <c r="U376" s="1"/>
      <c r="V376" s="1"/>
      <c r="W376" s="156">
        <f t="shared" si="151"/>
        <v>106.71728721848271</v>
      </c>
      <c r="X376" s="156">
        <f t="shared" si="151"/>
        <v>103.38009799445982</v>
      </c>
      <c r="Y376" s="156">
        <f t="shared" si="151"/>
        <v>100</v>
      </c>
      <c r="Z376" s="156">
        <f t="shared" si="151"/>
        <v>98.325295790024896</v>
      </c>
      <c r="AA376" s="156">
        <f t="shared" si="151"/>
        <v>114.31710928691885</v>
      </c>
      <c r="AB376" s="156">
        <f t="shared" si="151"/>
        <v>112.40271958400534</v>
      </c>
      <c r="AC376" s="4"/>
      <c r="AD376" s="4"/>
      <c r="AE376" s="4"/>
      <c r="AF376" s="4"/>
      <c r="AG376" s="4"/>
      <c r="AH376" s="4"/>
      <c r="AI376" s="4"/>
      <c r="AJ376" s="4"/>
      <c r="AK376" s="4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Y376" s="38"/>
      <c r="AZ376" s="38"/>
      <c r="BC376" s="1"/>
      <c r="BD376" s="1"/>
      <c r="BE376" s="7"/>
      <c r="BF376" s="7"/>
      <c r="BG376" s="91"/>
      <c r="BH376" s="70"/>
      <c r="BI376" s="7"/>
      <c r="BJ376" s="4"/>
      <c r="BK376" s="7"/>
      <c r="BL376" s="7"/>
      <c r="BM376" s="7"/>
      <c r="BN376" s="7"/>
      <c r="BO376" s="7"/>
      <c r="BP376" s="4"/>
    </row>
    <row r="377" spans="1:68" s="10" customFormat="1" ht="11.25" customHeight="1" x14ac:dyDescent="0.2">
      <c r="A377" s="54" t="s">
        <v>6</v>
      </c>
      <c r="B377" s="54"/>
      <c r="C377" s="54"/>
      <c r="D377" s="54"/>
      <c r="F377" s="5"/>
      <c r="G377" s="5"/>
      <c r="H377" s="136" t="str">
        <f t="shared" si="143"/>
        <v>Grozdje-vertikala podravska</v>
      </c>
      <c r="I377" s="151" t="str">
        <f>+I$73</f>
        <v>Stroški skupaj</v>
      </c>
      <c r="J377" s="168" t="str">
        <f>+J$73</f>
        <v>EUR/ha</v>
      </c>
      <c r="K377" s="169">
        <v>8832.3332044997042</v>
      </c>
      <c r="L377" s="169">
        <v>9362.4407415342612</v>
      </c>
      <c r="M377" s="170">
        <f t="shared" si="150"/>
        <v>106.00189694796036</v>
      </c>
      <c r="N377" s="8"/>
      <c r="O377" s="169">
        <v>10073.991871929959</v>
      </c>
      <c r="P377" s="169">
        <v>9750.3853458804278</v>
      </c>
      <c r="Q377" s="169">
        <v>9362.4407415342612</v>
      </c>
      <c r="R377" s="169">
        <v>9147.842447838515</v>
      </c>
      <c r="S377" s="169">
        <v>10435.962481419367</v>
      </c>
      <c r="T377" s="169">
        <v>10241.493440342798</v>
      </c>
      <c r="U377" s="1"/>
      <c r="V377" s="9"/>
      <c r="W377" s="155">
        <f t="shared" si="151"/>
        <v>107.60006017703341</v>
      </c>
      <c r="X377" s="155">
        <f t="shared" si="151"/>
        <v>104.14362680689815</v>
      </c>
      <c r="Y377" s="155">
        <f t="shared" si="151"/>
        <v>100</v>
      </c>
      <c r="Z377" s="155">
        <f t="shared" si="151"/>
        <v>97.707880886831873</v>
      </c>
      <c r="AA377" s="155">
        <f t="shared" si="151"/>
        <v>111.46625938173023</v>
      </c>
      <c r="AB377" s="155">
        <f t="shared" si="151"/>
        <v>109.38914032223271</v>
      </c>
      <c r="AC377" s="8"/>
      <c r="AD377" s="8"/>
      <c r="AE377" s="8"/>
      <c r="AF377" s="8"/>
      <c r="AG377" s="8"/>
      <c r="AH377" s="8"/>
      <c r="AI377" s="8"/>
      <c r="AJ377" s="8"/>
      <c r="AK377" s="8"/>
      <c r="AL377" s="1"/>
      <c r="AM377" s="1"/>
      <c r="AN377" s="1"/>
      <c r="AO377" s="9"/>
      <c r="AP377" s="9"/>
      <c r="AQ377" s="9"/>
      <c r="AR377" s="9"/>
      <c r="AS377" s="9"/>
      <c r="AT377" s="9"/>
      <c r="AU377" s="9"/>
      <c r="AY377" s="38"/>
      <c r="AZ377" s="38"/>
      <c r="BC377" s="9"/>
      <c r="BD377" s="9"/>
      <c r="BE377" s="6"/>
      <c r="BF377" s="6"/>
      <c r="BG377" s="91"/>
      <c r="BH377" s="71"/>
      <c r="BI377" s="6"/>
      <c r="BJ377" s="8"/>
      <c r="BK377" s="6"/>
      <c r="BL377" s="6"/>
      <c r="BM377" s="6"/>
      <c r="BN377" s="6"/>
      <c r="BO377" s="6"/>
      <c r="BP377" s="8"/>
    </row>
    <row r="378" spans="1:68" s="5" customFormat="1" ht="11.25" customHeight="1" x14ac:dyDescent="0.25">
      <c r="A378" s="25" t="s">
        <v>5</v>
      </c>
      <c r="B378" s="25"/>
      <c r="C378" s="25"/>
      <c r="D378" s="25"/>
      <c r="H378" s="136" t="str">
        <f t="shared" si="143"/>
        <v>Grozdje-vertikala podravska</v>
      </c>
      <c r="I378" s="152" t="str">
        <f>+I$74</f>
        <v>Stranski pridelki</v>
      </c>
      <c r="J378" s="165" t="str">
        <f>+J$74</f>
        <v>EUR/ha</v>
      </c>
      <c r="K378" s="171">
        <v>0</v>
      </c>
      <c r="L378" s="171">
        <v>0</v>
      </c>
      <c r="M378" s="172"/>
      <c r="N378" s="8"/>
      <c r="O378" s="171">
        <v>0</v>
      </c>
      <c r="P378" s="171">
        <v>0</v>
      </c>
      <c r="Q378" s="171">
        <v>0</v>
      </c>
      <c r="R378" s="171">
        <v>0</v>
      </c>
      <c r="S378" s="171">
        <v>0</v>
      </c>
      <c r="T378" s="171">
        <v>0</v>
      </c>
      <c r="U378" s="1"/>
      <c r="V378" s="1"/>
      <c r="W378" s="156"/>
      <c r="X378" s="156"/>
      <c r="Y378" s="156"/>
      <c r="Z378" s="156"/>
      <c r="AA378" s="156"/>
      <c r="AB378" s="156"/>
      <c r="AC378" s="4"/>
      <c r="AD378" s="4"/>
      <c r="AE378" s="339" t="s">
        <v>225</v>
      </c>
      <c r="AF378" s="340"/>
      <c r="AG378" s="340"/>
      <c r="AH378" s="340"/>
      <c r="AI378" s="340"/>
      <c r="AJ378" s="340"/>
      <c r="AK378" s="340"/>
      <c r="AL378" s="340"/>
      <c r="AM378" s="340"/>
      <c r="AN378" s="1"/>
      <c r="AO378" s="1"/>
      <c r="AP378" s="1"/>
      <c r="AQ378" s="1"/>
      <c r="AR378" s="1"/>
      <c r="AS378" s="1"/>
      <c r="AT378" s="1"/>
      <c r="AU378" s="1"/>
      <c r="AY378" s="38"/>
      <c r="AZ378" s="38"/>
      <c r="BC378" s="1"/>
      <c r="BD378" s="1"/>
      <c r="BE378" s="7"/>
      <c r="BF378" s="7"/>
      <c r="BG378" s="91"/>
      <c r="BH378" s="70"/>
      <c r="BI378" s="7"/>
      <c r="BJ378" s="4"/>
      <c r="BK378" s="7"/>
      <c r="BL378" s="7"/>
      <c r="BM378" s="7"/>
      <c r="BN378" s="7"/>
      <c r="BO378" s="7"/>
      <c r="BP378" s="4"/>
    </row>
    <row r="379" spans="1:68" s="5" customFormat="1" ht="11.25" customHeight="1" x14ac:dyDescent="0.25">
      <c r="A379" s="25"/>
      <c r="B379" s="25"/>
      <c r="C379" s="25"/>
      <c r="D379" s="25"/>
      <c r="H379" s="136" t="str">
        <f t="shared" si="143"/>
        <v>Grozdje-vertikala podravska</v>
      </c>
      <c r="I379" s="152" t="str">
        <f>+I$75</f>
        <v>Stroški glavnega pridelka</v>
      </c>
      <c r="J379" s="165" t="str">
        <f>+J$75</f>
        <v>EUR/ha</v>
      </c>
      <c r="K379" s="171">
        <f>+K377-K378</f>
        <v>8832.3332044997042</v>
      </c>
      <c r="L379" s="171">
        <f>+L377-L378</f>
        <v>9362.4407415342612</v>
      </c>
      <c r="M379" s="172">
        <f t="shared" ref="M379:M384" si="152">L379/K379*100</f>
        <v>106.00189694796036</v>
      </c>
      <c r="N379" s="8"/>
      <c r="O379" s="171">
        <f>+O377-O378</f>
        <v>10073.991871929959</v>
      </c>
      <c r="P379" s="171">
        <f>+P377-P378</f>
        <v>9750.3853458804278</v>
      </c>
      <c r="Q379" s="171">
        <f>+Q377-Q378</f>
        <v>9362.4407415342612</v>
      </c>
      <c r="R379" s="171">
        <f>+R377-R378</f>
        <v>9147.842447838515</v>
      </c>
      <c r="S379" s="171">
        <f t="shared" ref="S379:T379" si="153">+S377-S378</f>
        <v>10435.962481419367</v>
      </c>
      <c r="T379" s="171">
        <f t="shared" si="153"/>
        <v>10241.493440342798</v>
      </c>
      <c r="U379" s="1"/>
      <c r="V379" s="1"/>
      <c r="W379" s="156">
        <f t="shared" ref="W379:AB384" si="154">O379/$Q379*100</f>
        <v>107.60006017703341</v>
      </c>
      <c r="X379" s="156">
        <f t="shared" si="154"/>
        <v>104.14362680689815</v>
      </c>
      <c r="Y379" s="156">
        <f t="shared" si="154"/>
        <v>100</v>
      </c>
      <c r="Z379" s="156">
        <f t="shared" si="154"/>
        <v>97.707880886831873</v>
      </c>
      <c r="AA379" s="156">
        <f t="shared" si="154"/>
        <v>111.46625938173023</v>
      </c>
      <c r="AB379" s="156">
        <f t="shared" si="154"/>
        <v>109.38914032223271</v>
      </c>
      <c r="AC379" s="4"/>
      <c r="AD379" s="4"/>
      <c r="AE379" s="192" t="str">
        <f>AF$10&amp;""&amp;$L$56&amp;", upoštevani stroški zmanjšani za subvencije"</f>
        <v>prva ocena letine 2021, upoštevani stroški zmanjšani za subvencije</v>
      </c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Y379" s="38"/>
      <c r="AZ379" s="38"/>
      <c r="BC379" s="1"/>
      <c r="BD379" s="1"/>
      <c r="BE379" s="17"/>
      <c r="BF379" s="17"/>
      <c r="BG379" s="91"/>
      <c r="BH379" s="17"/>
      <c r="BI379" s="17"/>
      <c r="BJ379" s="17"/>
      <c r="BK379" s="17"/>
      <c r="BL379" s="17"/>
      <c r="BM379" s="17"/>
      <c r="BN379" s="17"/>
      <c r="BO379" s="17"/>
      <c r="BP379" s="4"/>
    </row>
    <row r="380" spans="1:68" s="5" customFormat="1" ht="11.25" customHeight="1" x14ac:dyDescent="0.2">
      <c r="A380" s="25" t="s">
        <v>4</v>
      </c>
      <c r="B380" s="25" t="s">
        <v>3</v>
      </c>
      <c r="C380" s="21" t="s">
        <v>2</v>
      </c>
      <c r="D380" s="21" t="s">
        <v>1</v>
      </c>
      <c r="H380" s="136" t="str">
        <f t="shared" si="143"/>
        <v>Grozdje-vertikala podravska</v>
      </c>
      <c r="I380" s="152" t="str">
        <f>+I$76</f>
        <v>Subvencije</v>
      </c>
      <c r="J380" s="165" t="str">
        <f>+J$76</f>
        <v>EUR/ha</v>
      </c>
      <c r="K380" s="171">
        <v>255.67206932539818</v>
      </c>
      <c r="L380" s="171">
        <v>252.64437226559861</v>
      </c>
      <c r="M380" s="172">
        <f t="shared" si="152"/>
        <v>98.815788886213383</v>
      </c>
      <c r="N380" s="8"/>
      <c r="O380" s="171">
        <v>260.17956299999997</v>
      </c>
      <c r="P380" s="171">
        <v>256.55102244118967</v>
      </c>
      <c r="Q380" s="171">
        <v>252.64437226559861</v>
      </c>
      <c r="R380" s="171">
        <v>250.75518432502949</v>
      </c>
      <c r="S380" s="171">
        <v>260.17956299999997</v>
      </c>
      <c r="T380" s="171">
        <v>260.17956299999997</v>
      </c>
      <c r="U380" s="1"/>
      <c r="V380" s="1"/>
      <c r="W380" s="156">
        <f t="shared" si="154"/>
        <v>102.98252862980056</v>
      </c>
      <c r="X380" s="156">
        <f t="shared" si="154"/>
        <v>101.54630405599698</v>
      </c>
      <c r="Y380" s="156">
        <f t="shared" si="154"/>
        <v>100</v>
      </c>
      <c r="Z380" s="156">
        <f t="shared" si="154"/>
        <v>99.252234307209079</v>
      </c>
      <c r="AA380" s="156">
        <f t="shared" si="154"/>
        <v>102.98252862980056</v>
      </c>
      <c r="AB380" s="156">
        <f t="shared" si="154"/>
        <v>102.98252862980056</v>
      </c>
      <c r="AC380" s="4"/>
      <c r="AD380" s="4"/>
      <c r="AE380" s="4"/>
      <c r="AF380" s="4"/>
      <c r="AG380" s="4"/>
      <c r="AH380" s="4"/>
      <c r="AI380" s="4"/>
      <c r="AJ380" s="4"/>
      <c r="AK380" s="4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Y380" s="38"/>
      <c r="AZ380" s="38"/>
      <c r="BC380" s="1"/>
      <c r="BD380" s="1"/>
      <c r="BE380" s="7"/>
      <c r="BF380" s="7"/>
      <c r="BG380" s="91"/>
      <c r="BH380" s="70"/>
      <c r="BI380" s="6"/>
      <c r="BJ380" s="4"/>
      <c r="BK380" s="7"/>
      <c r="BL380" s="7"/>
      <c r="BM380" s="7"/>
      <c r="BN380" s="7"/>
      <c r="BO380" s="7"/>
      <c r="BP380" s="4"/>
    </row>
    <row r="381" spans="1:68" s="5" customFormat="1" ht="11.25" customHeight="1" x14ac:dyDescent="0.2">
      <c r="A381" s="25"/>
      <c r="B381" s="25"/>
      <c r="C381" s="25"/>
      <c r="D381" s="25"/>
      <c r="H381" s="136" t="str">
        <f t="shared" si="143"/>
        <v>Grozdje-vertikala podravska</v>
      </c>
      <c r="I381" s="151" t="str">
        <f>+I$77</f>
        <v>Stroški, zmanjšani za subvencije</v>
      </c>
      <c r="J381" s="168" t="str">
        <f>+J$77</f>
        <v>EUR/ha</v>
      </c>
      <c r="K381" s="169">
        <f>+K379-K380</f>
        <v>8576.6611351743068</v>
      </c>
      <c r="L381" s="169">
        <f>+L379-L380</f>
        <v>9109.7963692686626</v>
      </c>
      <c r="M381" s="170">
        <f t="shared" si="152"/>
        <v>106.21611633818526</v>
      </c>
      <c r="N381" s="8"/>
      <c r="O381" s="169">
        <f>+O379-O380</f>
        <v>9813.8123089299588</v>
      </c>
      <c r="P381" s="169">
        <f>+P379-P380</f>
        <v>9493.8343234392378</v>
      </c>
      <c r="Q381" s="169">
        <f>+Q379-Q380</f>
        <v>9109.7963692686626</v>
      </c>
      <c r="R381" s="169">
        <f>+R379-R380</f>
        <v>8897.0872635134856</v>
      </c>
      <c r="S381" s="169">
        <f t="shared" ref="S381:T381" si="155">+S379-S380</f>
        <v>10175.782918419367</v>
      </c>
      <c r="T381" s="169">
        <f t="shared" si="155"/>
        <v>9981.3138773427982</v>
      </c>
      <c r="U381" s="9"/>
      <c r="V381" s="9"/>
      <c r="W381" s="155">
        <f t="shared" si="154"/>
        <v>107.72811939064029</v>
      </c>
      <c r="X381" s="155">
        <f t="shared" si="154"/>
        <v>104.21565904004291</v>
      </c>
      <c r="Y381" s="155">
        <f t="shared" si="154"/>
        <v>100</v>
      </c>
      <c r="Z381" s="155">
        <f t="shared" si="154"/>
        <v>97.66505092833097</v>
      </c>
      <c r="AA381" s="155">
        <f t="shared" si="154"/>
        <v>111.70154091200924</v>
      </c>
      <c r="AB381" s="155">
        <f t="shared" si="154"/>
        <v>109.56681656479333</v>
      </c>
      <c r="AC381" s="4"/>
      <c r="AD381" s="4"/>
      <c r="AE381" s="4"/>
      <c r="AF381" s="4"/>
      <c r="AG381" s="4"/>
      <c r="AH381" s="4"/>
      <c r="AI381" s="4"/>
      <c r="AJ381" s="4"/>
      <c r="AK381" s="4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Y381" s="38"/>
      <c r="AZ381" s="38"/>
      <c r="BC381" s="1"/>
      <c r="BD381" s="1"/>
      <c r="BE381" s="8"/>
      <c r="BF381" s="8"/>
      <c r="BG381" s="91"/>
      <c r="BH381" s="71"/>
      <c r="BI381" s="8"/>
      <c r="BJ381" s="8"/>
      <c r="BK381" s="8"/>
      <c r="BL381" s="8"/>
      <c r="BM381" s="8"/>
      <c r="BN381" s="8"/>
      <c r="BO381" s="8"/>
      <c r="BP381" s="4"/>
    </row>
    <row r="382" spans="1:68" s="33" customFormat="1" ht="11.25" customHeight="1" x14ac:dyDescent="0.2">
      <c r="A382" s="51"/>
      <c r="B382" s="51"/>
      <c r="C382" s="51"/>
      <c r="D382" s="51"/>
      <c r="F382" s="5"/>
      <c r="G382" s="5"/>
      <c r="H382" s="136" t="str">
        <f t="shared" si="143"/>
        <v>Grozdje-vertikala podravska</v>
      </c>
      <c r="I382" s="153" t="str">
        <f>+I$78</f>
        <v>Stroški, zmanjšani za subvencije/kg</v>
      </c>
      <c r="J382" s="173" t="str">
        <f>+J$78</f>
        <v>EUR/kg</v>
      </c>
      <c r="K382" s="174">
        <f>+K381/K362</f>
        <v>1.0720826418967884</v>
      </c>
      <c r="L382" s="174">
        <f>+L381/L362</f>
        <v>1.1387245461585829</v>
      </c>
      <c r="M382" s="170">
        <f t="shared" si="152"/>
        <v>106.21611633818526</v>
      </c>
      <c r="N382" s="8"/>
      <c r="O382" s="174">
        <f>+O381/O362</f>
        <v>0.81781769241082991</v>
      </c>
      <c r="P382" s="174">
        <f>+P381/P362</f>
        <v>0.94938343234392375</v>
      </c>
      <c r="Q382" s="174">
        <f>+Q381/Q362</f>
        <v>1.1387245461585829</v>
      </c>
      <c r="R382" s="174">
        <f>+R381/R362</f>
        <v>1.2710124662162123</v>
      </c>
      <c r="S382" s="174">
        <f t="shared" ref="S382:T382" si="156">+S381/S362</f>
        <v>1.0050155968809251</v>
      </c>
      <c r="T382" s="174">
        <f t="shared" si="156"/>
        <v>1.109034875260311</v>
      </c>
      <c r="U382" s="1"/>
      <c r="V382" s="16"/>
      <c r="W382" s="157">
        <f t="shared" si="154"/>
        <v>71.818746260426863</v>
      </c>
      <c r="X382" s="157">
        <f t="shared" si="154"/>
        <v>83.372527232034315</v>
      </c>
      <c r="Y382" s="157">
        <f t="shared" si="154"/>
        <v>100</v>
      </c>
      <c r="Z382" s="157">
        <f t="shared" si="154"/>
        <v>111.6172010609497</v>
      </c>
      <c r="AA382" s="157">
        <f t="shared" si="154"/>
        <v>88.258007634180132</v>
      </c>
      <c r="AB382" s="157">
        <f t="shared" si="154"/>
        <v>97.392725835371849</v>
      </c>
      <c r="AC382" s="4"/>
      <c r="AD382" s="4"/>
      <c r="AE382" s="4"/>
      <c r="AF382" s="4"/>
      <c r="AG382" s="4"/>
      <c r="AH382" s="4"/>
      <c r="AI382" s="4"/>
      <c r="AJ382" s="4"/>
      <c r="AK382" s="4"/>
      <c r="AL382" s="1"/>
      <c r="AM382" s="1"/>
      <c r="AN382" s="1"/>
      <c r="AO382" s="1"/>
      <c r="AP382" s="1"/>
      <c r="AQ382" s="1"/>
      <c r="AR382" s="19"/>
      <c r="AS382" s="19"/>
      <c r="AT382" s="19"/>
      <c r="AU382" s="19"/>
      <c r="AY382" s="38"/>
      <c r="AZ382" s="38"/>
      <c r="BC382" s="16"/>
      <c r="BD382" s="16"/>
      <c r="BE382" s="15"/>
      <c r="BF382" s="15"/>
      <c r="BG382" s="91"/>
      <c r="BH382" s="75"/>
      <c r="BI382" s="14"/>
      <c r="BJ382" s="15"/>
      <c r="BK382" s="15"/>
      <c r="BL382" s="15"/>
      <c r="BM382" s="15"/>
      <c r="BN382" s="15"/>
      <c r="BO382" s="15"/>
      <c r="BP382" s="32"/>
    </row>
    <row r="383" spans="1:68" s="33" customFormat="1" ht="11.25" customHeight="1" x14ac:dyDescent="0.2">
      <c r="A383" s="51" t="s">
        <v>30</v>
      </c>
      <c r="B383" s="51"/>
      <c r="C383" s="51"/>
      <c r="D383" s="51"/>
      <c r="F383" s="5"/>
      <c r="G383" s="5"/>
      <c r="H383" s="136" t="str">
        <f t="shared" si="143"/>
        <v>Grozdje-vertikala podravska</v>
      </c>
      <c r="I383" s="16" t="str">
        <f>+I$79</f>
        <v>Prodajna cena</v>
      </c>
      <c r="J383" s="175" t="str">
        <f>+J$79</f>
        <v>EUR/kg</v>
      </c>
      <c r="K383" s="176">
        <v>0.45734876033057853</v>
      </c>
      <c r="L383" s="176">
        <v>0.54</v>
      </c>
      <c r="M383" s="164">
        <f t="shared" si="152"/>
        <v>118.07181889149103</v>
      </c>
      <c r="N383" s="8"/>
      <c r="O383" s="216">
        <v>0.54</v>
      </c>
      <c r="P383" s="216">
        <v>0.54</v>
      </c>
      <c r="Q383" s="216">
        <v>0.54</v>
      </c>
      <c r="R383" s="216">
        <v>0.54</v>
      </c>
      <c r="S383" s="216">
        <v>0.54</v>
      </c>
      <c r="T383" s="216">
        <v>0.54</v>
      </c>
      <c r="U383" s="1"/>
      <c r="V383" s="16"/>
      <c r="W383" s="73">
        <f t="shared" si="154"/>
        <v>100</v>
      </c>
      <c r="X383" s="73">
        <f t="shared" si="154"/>
        <v>100</v>
      </c>
      <c r="Y383" s="73">
        <f t="shared" si="154"/>
        <v>100</v>
      </c>
      <c r="Z383" s="73">
        <f t="shared" si="154"/>
        <v>100</v>
      </c>
      <c r="AA383" s="73">
        <f t="shared" si="154"/>
        <v>100</v>
      </c>
      <c r="AB383" s="73">
        <f t="shared" si="154"/>
        <v>100</v>
      </c>
      <c r="AC383" s="4"/>
      <c r="AD383" s="4"/>
      <c r="AE383" s="4"/>
      <c r="AF383" s="4"/>
      <c r="AG383" s="4"/>
      <c r="AH383" s="4"/>
      <c r="AI383" s="4"/>
      <c r="AJ383" s="4"/>
      <c r="AK383" s="4"/>
      <c r="AL383" s="1"/>
      <c r="AM383" s="1"/>
      <c r="AN383" s="1"/>
      <c r="AO383" s="1"/>
      <c r="AP383" s="1"/>
      <c r="AQ383" s="1"/>
      <c r="AR383" s="19"/>
      <c r="AS383" s="19"/>
      <c r="AT383" s="19"/>
      <c r="AU383" s="19"/>
      <c r="AY383" s="38"/>
      <c r="AZ383" s="38"/>
      <c r="BC383" s="16"/>
      <c r="BD383" s="16"/>
      <c r="BE383" s="74"/>
      <c r="BF383" s="74"/>
      <c r="BG383" s="91"/>
      <c r="BH383" s="75"/>
      <c r="BI383" s="6"/>
      <c r="BJ383" s="15"/>
      <c r="BK383" s="74"/>
      <c r="BL383" s="74"/>
      <c r="BM383" s="74"/>
      <c r="BN383" s="74"/>
      <c r="BO383" s="74"/>
      <c r="BP383" s="32"/>
    </row>
    <row r="384" spans="1:68" s="5" customFormat="1" ht="11.25" customHeight="1" x14ac:dyDescent="0.2">
      <c r="A384" s="25"/>
      <c r="B384" s="25"/>
      <c r="C384" s="25"/>
      <c r="D384" s="25"/>
      <c r="H384" s="136" t="str">
        <f t="shared" si="143"/>
        <v>Grozdje-vertikala podravska</v>
      </c>
      <c r="I384" s="9" t="str">
        <f>+I$80</f>
        <v>Vrednost proizvodnje skupaj</v>
      </c>
      <c r="J384" s="159" t="str">
        <f>+J$80</f>
        <v>EUR/ha</v>
      </c>
      <c r="K384" s="163">
        <f>+K383*K362+K378+K380</f>
        <v>3914.4621519700268</v>
      </c>
      <c r="L384" s="163">
        <f>+L383*L362+L378+L380</f>
        <v>4572.6443722655986</v>
      </c>
      <c r="M384" s="164">
        <f t="shared" si="152"/>
        <v>116.81411633943961</v>
      </c>
      <c r="N384" s="8"/>
      <c r="O384" s="163">
        <f>+O383*O362+O378+O380</f>
        <v>6740.1795629999997</v>
      </c>
      <c r="P384" s="163">
        <f>+P383*P362+P378+P380</f>
        <v>5656.5510224411901</v>
      </c>
      <c r="Q384" s="163">
        <f>+Q383*Q362+Q378+Q380</f>
        <v>4572.6443722655986</v>
      </c>
      <c r="R384" s="163">
        <f>+R383*R362+R378+R380</f>
        <v>4030.7551843250299</v>
      </c>
      <c r="S384" s="163">
        <f t="shared" ref="S384:T384" si="157">+S383*S362+S378+S380</f>
        <v>5727.6795629999997</v>
      </c>
      <c r="T384" s="163">
        <f t="shared" si="157"/>
        <v>5120.1795629999997</v>
      </c>
      <c r="U384" s="1"/>
      <c r="V384" s="9"/>
      <c r="W384" s="8">
        <f t="shared" si="154"/>
        <v>147.4022253705345</v>
      </c>
      <c r="X384" s="8">
        <f t="shared" si="154"/>
        <v>123.70415370042325</v>
      </c>
      <c r="Y384" s="8">
        <f t="shared" si="154"/>
        <v>100</v>
      </c>
      <c r="Z384" s="8">
        <f t="shared" si="154"/>
        <v>88.149325776846283</v>
      </c>
      <c r="AA384" s="8">
        <f t="shared" si="154"/>
        <v>125.25967682376573</v>
      </c>
      <c r="AB384" s="8">
        <f t="shared" si="154"/>
        <v>111.97414769570446</v>
      </c>
      <c r="AC384" s="8"/>
      <c r="AD384" s="8"/>
      <c r="AE384" s="8"/>
      <c r="AF384" s="8"/>
      <c r="AG384" s="8"/>
      <c r="AH384" s="8"/>
      <c r="AI384" s="8"/>
      <c r="AJ384" s="8"/>
      <c r="AK384" s="8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Y384" s="38"/>
      <c r="AZ384" s="38"/>
      <c r="BC384" s="9"/>
      <c r="BD384" s="9"/>
      <c r="BE384" s="8"/>
      <c r="BF384" s="8"/>
      <c r="BG384" s="91"/>
      <c r="BH384" s="71"/>
      <c r="BI384" s="8"/>
      <c r="BJ384" s="8"/>
      <c r="BK384" s="8"/>
      <c r="BL384" s="8"/>
      <c r="BM384" s="8"/>
      <c r="BN384" s="8"/>
      <c r="BO384" s="8"/>
      <c r="BP384" s="8"/>
    </row>
    <row r="385" spans="1:68" s="5" customFormat="1" ht="11.25" customHeight="1" x14ac:dyDescent="0.2">
      <c r="A385" s="25"/>
      <c r="B385" s="25"/>
      <c r="C385" s="25"/>
      <c r="D385" s="25"/>
      <c r="H385" s="136" t="str">
        <f t="shared" si="143"/>
        <v>Grozdje-vertikala podravska</v>
      </c>
      <c r="I385" s="1" t="str">
        <f>+I$81</f>
        <v xml:space="preserve">  Od tega interna realizacija</v>
      </c>
      <c r="J385" s="162" t="str">
        <f>+J$81</f>
        <v>EUR/ha</v>
      </c>
      <c r="K385" s="177">
        <f>+K384-K387</f>
        <v>0</v>
      </c>
      <c r="L385" s="177">
        <f>+L384-L387</f>
        <v>0</v>
      </c>
      <c r="M385" s="164"/>
      <c r="N385" s="8"/>
      <c r="O385" s="177">
        <f>+O384-O387</f>
        <v>0</v>
      </c>
      <c r="P385" s="177">
        <f>+P384-P387</f>
        <v>0</v>
      </c>
      <c r="Q385" s="177">
        <f>+Q384-Q387</f>
        <v>0</v>
      </c>
      <c r="R385" s="177">
        <f>+R384-R387</f>
        <v>0</v>
      </c>
      <c r="S385" s="177">
        <f t="shared" ref="S385:T385" si="158">+S384-S387</f>
        <v>0</v>
      </c>
      <c r="T385" s="177">
        <f t="shared" si="158"/>
        <v>0</v>
      </c>
      <c r="U385" s="1"/>
      <c r="V385" s="1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Y385" s="38"/>
      <c r="AZ385" s="38"/>
      <c r="BC385" s="1"/>
      <c r="BD385" s="1"/>
      <c r="BE385" s="4"/>
      <c r="BF385" s="4"/>
      <c r="BG385" s="91"/>
      <c r="BH385" s="70"/>
      <c r="BI385" s="4"/>
      <c r="BJ385" s="8"/>
      <c r="BK385" s="4"/>
      <c r="BL385" s="4"/>
      <c r="BM385" s="4"/>
      <c r="BN385" s="4"/>
      <c r="BO385" s="4"/>
      <c r="BP385" s="4"/>
    </row>
    <row r="386" spans="1:68" s="5" customFormat="1" ht="11.25" customHeight="1" x14ac:dyDescent="0.2">
      <c r="A386" s="25"/>
      <c r="B386" s="25"/>
      <c r="C386" s="25"/>
      <c r="D386" s="25"/>
      <c r="H386" s="136" t="str">
        <f t="shared" si="143"/>
        <v>Grozdje-vertikala podravska</v>
      </c>
      <c r="I386" s="151" t="str">
        <f>+I$82</f>
        <v>OBRAČUN DOHODKA</v>
      </c>
      <c r="J386" s="165"/>
      <c r="K386" s="171"/>
      <c r="L386" s="171"/>
      <c r="M386" s="170"/>
      <c r="N386" s="8"/>
      <c r="O386" s="171"/>
      <c r="P386" s="171"/>
      <c r="Q386" s="171"/>
      <c r="R386" s="171"/>
      <c r="S386" s="171"/>
      <c r="T386" s="171"/>
      <c r="U386" s="1"/>
      <c r="V386" s="1"/>
      <c r="W386" s="156"/>
      <c r="X386" s="156"/>
      <c r="Y386" s="156"/>
      <c r="Z386" s="156"/>
      <c r="AA386" s="156"/>
      <c r="AB386" s="156"/>
      <c r="AC386" s="4"/>
      <c r="AD386" s="4"/>
      <c r="AE386" s="4"/>
      <c r="AF386" s="4"/>
      <c r="AG386" s="4"/>
      <c r="AH386" s="4"/>
      <c r="AI386" s="4"/>
      <c r="AJ386" s="4"/>
      <c r="AK386" s="4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Y386" s="38"/>
      <c r="AZ386" s="38"/>
      <c r="BC386" s="9"/>
      <c r="BD386" s="1"/>
      <c r="BE386" s="4"/>
      <c r="BF386" s="4"/>
      <c r="BG386" s="91"/>
      <c r="BH386" s="70"/>
      <c r="BI386" s="4"/>
      <c r="BJ386" s="8"/>
      <c r="BK386" s="4"/>
      <c r="BL386" s="4"/>
      <c r="BM386" s="4"/>
      <c r="BN386" s="4"/>
      <c r="BO386" s="4"/>
      <c r="BP386" s="4"/>
    </row>
    <row r="387" spans="1:68" s="5" customFormat="1" ht="11.25" customHeight="1" x14ac:dyDescent="0.2">
      <c r="A387" s="25" t="s">
        <v>29</v>
      </c>
      <c r="B387" s="25"/>
      <c r="C387" s="25"/>
      <c r="D387" s="25"/>
      <c r="H387" s="136" t="str">
        <f t="shared" si="143"/>
        <v>Grozdje-vertikala podravska</v>
      </c>
      <c r="I387" s="152" t="str">
        <f>+I$83</f>
        <v>Vrednost finalne proizvodnje skupaj</v>
      </c>
      <c r="J387" s="165" t="str">
        <f>+J$83</f>
        <v>EUR/ha</v>
      </c>
      <c r="K387" s="171">
        <v>3914.4621519700268</v>
      </c>
      <c r="L387" s="171">
        <v>4572.6443722655986</v>
      </c>
      <c r="M387" s="172">
        <f t="shared" ref="M387:M392" si="159">L387/K387*100</f>
        <v>116.81411633943961</v>
      </c>
      <c r="N387" s="8"/>
      <c r="O387" s="171">
        <v>6740.1795629999997</v>
      </c>
      <c r="P387" s="171">
        <v>5656.5510224411901</v>
      </c>
      <c r="Q387" s="171">
        <v>4572.6443722655986</v>
      </c>
      <c r="R387" s="171">
        <v>4030.7551843250299</v>
      </c>
      <c r="S387" s="171">
        <v>5727.6795629999997</v>
      </c>
      <c r="T387" s="171">
        <v>5120.1795629999997</v>
      </c>
      <c r="U387" s="1"/>
      <c r="V387" s="1"/>
      <c r="W387" s="156">
        <f t="shared" ref="W387:AB392" si="160">O387/$Q387*100</f>
        <v>147.4022253705345</v>
      </c>
      <c r="X387" s="156">
        <f t="shared" si="160"/>
        <v>123.70415370042325</v>
      </c>
      <c r="Y387" s="156">
        <f t="shared" si="160"/>
        <v>100</v>
      </c>
      <c r="Z387" s="156">
        <f t="shared" si="160"/>
        <v>88.149325776846283</v>
      </c>
      <c r="AA387" s="156">
        <f t="shared" si="160"/>
        <v>125.25967682376573</v>
      </c>
      <c r="AB387" s="156">
        <f t="shared" si="160"/>
        <v>111.97414769570446</v>
      </c>
      <c r="AC387" s="4"/>
      <c r="AD387" s="4"/>
      <c r="AE387" s="4"/>
      <c r="AF387" s="4"/>
      <c r="AG387" s="4"/>
      <c r="AH387" s="4"/>
      <c r="AI387" s="4"/>
      <c r="AJ387" s="4"/>
      <c r="AK387" s="4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Y387" s="38"/>
      <c r="AZ387" s="38"/>
      <c r="BC387" s="1"/>
      <c r="BD387" s="1"/>
      <c r="BE387" s="41"/>
      <c r="BF387" s="41"/>
      <c r="BG387" s="91"/>
      <c r="BH387" s="70"/>
      <c r="BI387" s="41"/>
      <c r="BJ387" s="4"/>
      <c r="BK387" s="41"/>
      <c r="BL387" s="41"/>
      <c r="BM387" s="41"/>
      <c r="BN387" s="41"/>
      <c r="BO387" s="41"/>
      <c r="BP387" s="4"/>
    </row>
    <row r="388" spans="1:68" s="5" customFormat="1" ht="11.25" customHeight="1" x14ac:dyDescent="0.2">
      <c r="A388" s="25" t="s">
        <v>28</v>
      </c>
      <c r="B388" s="25"/>
      <c r="C388" s="25"/>
      <c r="D388" s="25"/>
      <c r="H388" s="136" t="str">
        <f t="shared" si="143"/>
        <v>Grozdje-vertikala podravska</v>
      </c>
      <c r="I388" s="152" t="str">
        <f>+I$84</f>
        <v>Stroški zmanjšani za interno realizacijo</v>
      </c>
      <c r="J388" s="165" t="str">
        <f>+J$84</f>
        <v>EUR/ha</v>
      </c>
      <c r="K388" s="171">
        <v>8832.333204499706</v>
      </c>
      <c r="L388" s="171">
        <v>9362.440741534263</v>
      </c>
      <c r="M388" s="172">
        <f t="shared" si="159"/>
        <v>106.00189694796036</v>
      </c>
      <c r="N388" s="8"/>
      <c r="O388" s="171">
        <v>10073.991871929959</v>
      </c>
      <c r="P388" s="171">
        <v>9750.385345880426</v>
      </c>
      <c r="Q388" s="171">
        <v>9362.440741534263</v>
      </c>
      <c r="R388" s="171">
        <v>9147.8424478385132</v>
      </c>
      <c r="S388" s="171">
        <v>10435.962481419368</v>
      </c>
      <c r="T388" s="171">
        <v>10241.4934403428</v>
      </c>
      <c r="U388" s="1"/>
      <c r="V388" s="1"/>
      <c r="W388" s="156">
        <f t="shared" si="160"/>
        <v>107.60006017703338</v>
      </c>
      <c r="X388" s="156">
        <f t="shared" si="160"/>
        <v>104.1436268068981</v>
      </c>
      <c r="Y388" s="156">
        <f t="shared" si="160"/>
        <v>100</v>
      </c>
      <c r="Z388" s="156">
        <f t="shared" si="160"/>
        <v>97.70788088683183</v>
      </c>
      <c r="AA388" s="156">
        <f t="shared" si="160"/>
        <v>111.46625938173023</v>
      </c>
      <c r="AB388" s="156">
        <f t="shared" si="160"/>
        <v>109.38914032223271</v>
      </c>
      <c r="AC388" s="4"/>
      <c r="AD388" s="4"/>
      <c r="AE388" s="4"/>
      <c r="AF388" s="4"/>
      <c r="AG388" s="4"/>
      <c r="AH388" s="4"/>
      <c r="AI388" s="4"/>
      <c r="AJ388" s="4"/>
      <c r="AK388" s="4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Y388" s="38"/>
      <c r="AZ388" s="38"/>
      <c r="BC388" s="1"/>
      <c r="BD388" s="1"/>
      <c r="BE388" s="7"/>
      <c r="BF388" s="7"/>
      <c r="BG388" s="91"/>
      <c r="BH388" s="70"/>
      <c r="BI388" s="7"/>
      <c r="BJ388" s="4"/>
      <c r="BK388" s="7"/>
      <c r="BL388" s="7"/>
      <c r="BM388" s="7"/>
      <c r="BN388" s="7"/>
      <c r="BO388" s="7"/>
      <c r="BP388" s="4"/>
    </row>
    <row r="389" spans="1:68" s="5" customFormat="1" ht="11.25" customHeight="1" x14ac:dyDescent="0.2">
      <c r="A389" s="25" t="s">
        <v>27</v>
      </c>
      <c r="B389" s="25"/>
      <c r="C389" s="25"/>
      <c r="D389" s="25"/>
      <c r="H389" s="136" t="str">
        <f t="shared" si="143"/>
        <v>Grozdje-vertikala podravska</v>
      </c>
      <c r="I389" s="152" t="str">
        <f>+I$85</f>
        <v xml:space="preserve">  Stroški kupljenega blaga in storitev</v>
      </c>
      <c r="J389" s="165" t="str">
        <f>+J$85</f>
        <v>EUR/ha</v>
      </c>
      <c r="K389" s="171">
        <v>3306.6874855762139</v>
      </c>
      <c r="L389" s="171">
        <v>3514.5735077633003</v>
      </c>
      <c r="M389" s="172">
        <f t="shared" si="159"/>
        <v>106.28683608880145</v>
      </c>
      <c r="N389" s="8"/>
      <c r="O389" s="171">
        <v>3942.7537250077139</v>
      </c>
      <c r="P389" s="171">
        <v>3759.2594889380684</v>
      </c>
      <c r="Q389" s="171">
        <v>3514.5735077633003</v>
      </c>
      <c r="R389" s="171">
        <v>3371.0451557033484</v>
      </c>
      <c r="S389" s="171">
        <v>3913.5698407765235</v>
      </c>
      <c r="T389" s="171">
        <v>3800.0800960422002</v>
      </c>
      <c r="U389" s="1"/>
      <c r="V389" s="1"/>
      <c r="W389" s="156">
        <f t="shared" si="160"/>
        <v>112.18299222647103</v>
      </c>
      <c r="X389" s="156">
        <f t="shared" si="160"/>
        <v>106.96203908196213</v>
      </c>
      <c r="Y389" s="156">
        <f t="shared" si="160"/>
        <v>100</v>
      </c>
      <c r="Z389" s="156">
        <f t="shared" si="160"/>
        <v>95.916194333596565</v>
      </c>
      <c r="AA389" s="156">
        <f t="shared" si="160"/>
        <v>111.35262449716544</v>
      </c>
      <c r="AB389" s="156">
        <f t="shared" si="160"/>
        <v>108.12350595735862</v>
      </c>
      <c r="AC389" s="4"/>
      <c r="AD389" s="4"/>
      <c r="AE389" s="4"/>
      <c r="AF389" s="4"/>
      <c r="AG389" s="4"/>
      <c r="AH389" s="4"/>
      <c r="AI389" s="4"/>
      <c r="AJ389" s="4"/>
      <c r="AK389" s="4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Y389" s="38"/>
      <c r="AZ389" s="38"/>
      <c r="BC389" s="1"/>
      <c r="BD389" s="1"/>
      <c r="BE389" s="7"/>
      <c r="BF389" s="7"/>
      <c r="BG389" s="91"/>
      <c r="BH389" s="70"/>
      <c r="BI389" s="7"/>
      <c r="BJ389" s="4"/>
      <c r="BK389" s="7"/>
      <c r="BL389" s="7"/>
      <c r="BM389" s="7"/>
      <c r="BN389" s="7"/>
      <c r="BO389" s="7"/>
      <c r="BP389" s="4"/>
    </row>
    <row r="390" spans="1:68" s="5" customFormat="1" ht="11.25" customHeight="1" x14ac:dyDescent="0.2">
      <c r="A390" s="25" t="s">
        <v>26</v>
      </c>
      <c r="B390" s="25"/>
      <c r="C390" s="25"/>
      <c r="D390" s="25"/>
      <c r="H390" s="136" t="str">
        <f t="shared" si="143"/>
        <v>Grozdje-vertikala podravska</v>
      </c>
      <c r="I390" s="152" t="str">
        <f>+I$86</f>
        <v xml:space="preserve">  Amortizacija</v>
      </c>
      <c r="J390" s="165" t="str">
        <f>+J$86</f>
        <v>EUR/ha</v>
      </c>
      <c r="K390" s="171">
        <v>1581.8351383743318</v>
      </c>
      <c r="L390" s="171">
        <v>1683.4266697278663</v>
      </c>
      <c r="M390" s="172">
        <f t="shared" si="159"/>
        <v>106.42238428575692</v>
      </c>
      <c r="N390" s="8"/>
      <c r="O390" s="171">
        <v>1723.8945022906883</v>
      </c>
      <c r="P390" s="171">
        <v>1703.9664406269048</v>
      </c>
      <c r="Q390" s="171">
        <v>1683.4266697278663</v>
      </c>
      <c r="R390" s="171">
        <v>1673.3685209297735</v>
      </c>
      <c r="S390" s="171">
        <v>1813.7414124515408</v>
      </c>
      <c r="T390" s="171">
        <v>1802.0077918999086</v>
      </c>
      <c r="U390" s="1"/>
      <c r="V390" s="1"/>
      <c r="W390" s="156">
        <f t="shared" si="160"/>
        <v>102.40389636748264</v>
      </c>
      <c r="X390" s="156">
        <f t="shared" si="160"/>
        <v>101.22011675758699</v>
      </c>
      <c r="Y390" s="156">
        <f t="shared" si="160"/>
        <v>100</v>
      </c>
      <c r="Z390" s="156">
        <f t="shared" si="160"/>
        <v>99.402519338741442</v>
      </c>
      <c r="AA390" s="156">
        <f t="shared" si="160"/>
        <v>107.74104064448144</v>
      </c>
      <c r="AB390" s="156">
        <f t="shared" si="160"/>
        <v>107.04403252630014</v>
      </c>
      <c r="AC390" s="4"/>
      <c r="AD390" s="4"/>
      <c r="AE390" s="4"/>
      <c r="AF390" s="4"/>
      <c r="AG390" s="4"/>
      <c r="AH390" s="4"/>
      <c r="AI390" s="4"/>
      <c r="AJ390" s="4"/>
      <c r="AK390" s="4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Y390" s="38"/>
      <c r="AZ390" s="38"/>
      <c r="BC390" s="1"/>
      <c r="BD390" s="1"/>
      <c r="BE390" s="41"/>
      <c r="BF390" s="41"/>
      <c r="BG390" s="91"/>
      <c r="BH390" s="70"/>
      <c r="BI390" s="41"/>
      <c r="BJ390" s="4"/>
      <c r="BK390" s="41"/>
      <c r="BL390" s="41"/>
      <c r="BM390" s="41"/>
      <c r="BN390" s="41"/>
      <c r="BO390" s="41"/>
      <c r="BP390" s="4"/>
    </row>
    <row r="391" spans="1:68" s="5" customFormat="1" ht="11.25" customHeight="1" x14ac:dyDescent="0.2">
      <c r="A391" s="25"/>
      <c r="B391" s="25"/>
      <c r="C391" s="25"/>
      <c r="D391" s="25"/>
      <c r="H391" s="136" t="str">
        <f t="shared" si="143"/>
        <v>Grozdje-vertikala podravska</v>
      </c>
      <c r="I391" s="151" t="str">
        <f>+I$87</f>
        <v xml:space="preserve">  Stroški domačega dela in kapitala</v>
      </c>
      <c r="J391" s="168" t="str">
        <f>+J$87</f>
        <v>EUR/ha</v>
      </c>
      <c r="K391" s="169">
        <f>+K388-K389-K390</f>
        <v>3943.8105805491596</v>
      </c>
      <c r="L391" s="169">
        <f>+L388-L389-L390</f>
        <v>4164.4405640430969</v>
      </c>
      <c r="M391" s="170">
        <f t="shared" si="159"/>
        <v>105.5943351991113</v>
      </c>
      <c r="N391" s="8"/>
      <c r="O391" s="169">
        <f>+O388-O389-O390</f>
        <v>4407.3436446315563</v>
      </c>
      <c r="P391" s="169">
        <f>+P388-P389-P390</f>
        <v>4287.1594163154523</v>
      </c>
      <c r="Q391" s="169">
        <f>+Q388-Q389-Q390</f>
        <v>4164.4405640430969</v>
      </c>
      <c r="R391" s="169">
        <f>+R388-R389-R390</f>
        <v>4103.4287712053911</v>
      </c>
      <c r="S391" s="169">
        <f t="shared" ref="S391:T391" si="161">+S388-S389-S390</f>
        <v>4708.6512281913047</v>
      </c>
      <c r="T391" s="169">
        <f t="shared" si="161"/>
        <v>4639.4055524006908</v>
      </c>
      <c r="U391" s="1"/>
      <c r="V391" s="9"/>
      <c r="W391" s="155">
        <f t="shared" si="160"/>
        <v>105.83279018761247</v>
      </c>
      <c r="X391" s="155">
        <f t="shared" si="160"/>
        <v>102.94682683988681</v>
      </c>
      <c r="Y391" s="155">
        <f t="shared" si="160"/>
        <v>100</v>
      </c>
      <c r="Z391" s="155">
        <f t="shared" si="160"/>
        <v>98.534934239078879</v>
      </c>
      <c r="AA391" s="155">
        <f t="shared" si="160"/>
        <v>113.06803772989508</v>
      </c>
      <c r="AB391" s="155">
        <f t="shared" si="160"/>
        <v>111.40525314392933</v>
      </c>
      <c r="AC391" s="8"/>
      <c r="AD391" s="8"/>
      <c r="AE391" s="8"/>
      <c r="AF391" s="8"/>
      <c r="AG391" s="8"/>
      <c r="AH391" s="8"/>
      <c r="AI391" s="8"/>
      <c r="AJ391" s="8"/>
      <c r="AK391" s="8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Y391" s="38"/>
      <c r="AZ391" s="38"/>
      <c r="BC391" s="9"/>
      <c r="BD391" s="9"/>
      <c r="BE391" s="8"/>
      <c r="BF391" s="8"/>
      <c r="BG391" s="91"/>
      <c r="BH391" s="71"/>
      <c r="BI391" s="8"/>
      <c r="BJ391" s="8"/>
      <c r="BK391" s="8"/>
      <c r="BL391" s="8"/>
      <c r="BM391" s="8"/>
      <c r="BN391" s="8"/>
      <c r="BO391" s="8"/>
      <c r="BP391" s="8"/>
    </row>
    <row r="392" spans="1:68" s="5" customFormat="1" ht="11.25" customHeight="1" x14ac:dyDescent="0.2">
      <c r="A392" s="25"/>
      <c r="B392" s="25"/>
      <c r="C392" s="25"/>
      <c r="D392" s="25"/>
      <c r="H392" s="136" t="str">
        <f t="shared" si="143"/>
        <v>Grozdje-vertikala podravska</v>
      </c>
      <c r="I392" s="152" t="str">
        <f>+I$88</f>
        <v xml:space="preserve">Bruto dodana vrednost </v>
      </c>
      <c r="J392" s="165" t="str">
        <f>+J$88</f>
        <v>EUR/ha</v>
      </c>
      <c r="K392" s="171">
        <f>+K387-K389</f>
        <v>607.77466639381282</v>
      </c>
      <c r="L392" s="171">
        <f>+L387-L389</f>
        <v>1058.0708645022983</v>
      </c>
      <c r="M392" s="172">
        <f t="shared" si="159"/>
        <v>174.08933326890465</v>
      </c>
      <c r="N392" s="8"/>
      <c r="O392" s="171">
        <f>+O387-O389</f>
        <v>2797.4258379922858</v>
      </c>
      <c r="P392" s="171">
        <f>+P387-P389</f>
        <v>1897.2915335031216</v>
      </c>
      <c r="Q392" s="171">
        <f>+Q387-Q389</f>
        <v>1058.0708645022983</v>
      </c>
      <c r="R392" s="171">
        <f>+R387-R389</f>
        <v>659.71002862168143</v>
      </c>
      <c r="S392" s="171">
        <f t="shared" ref="S392:T392" si="162">+S387-S389</f>
        <v>1814.1097222234762</v>
      </c>
      <c r="T392" s="171">
        <f t="shared" si="162"/>
        <v>1320.0994669577995</v>
      </c>
      <c r="U392" s="1"/>
      <c r="V392" s="1"/>
      <c r="W392" s="156">
        <f t="shared" si="160"/>
        <v>264.38927030734902</v>
      </c>
      <c r="X392" s="156">
        <f t="shared" si="160"/>
        <v>179.31611172334672</v>
      </c>
      <c r="Y392" s="156">
        <f t="shared" si="160"/>
        <v>100</v>
      </c>
      <c r="Z392" s="156">
        <f t="shared" si="160"/>
        <v>62.350268848202319</v>
      </c>
      <c r="AA392" s="156">
        <f t="shared" si="160"/>
        <v>171.45446331487523</v>
      </c>
      <c r="AB392" s="156">
        <f t="shared" si="160"/>
        <v>124.76474981463134</v>
      </c>
      <c r="AC392" s="4"/>
      <c r="AD392" s="4"/>
      <c r="AE392" s="4"/>
      <c r="AF392" s="4"/>
      <c r="AG392" s="4"/>
      <c r="AH392" s="4"/>
      <c r="AI392" s="4"/>
      <c r="AJ392" s="4"/>
      <c r="AK392" s="4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Y392" s="38"/>
      <c r="AZ392" s="38"/>
      <c r="BC392" s="1"/>
      <c r="BD392" s="1"/>
      <c r="BE392" s="4"/>
      <c r="BF392" s="4"/>
      <c r="BG392" s="91"/>
      <c r="BH392" s="70"/>
      <c r="BI392" s="4"/>
      <c r="BJ392" s="4"/>
      <c r="BK392" s="4"/>
      <c r="BL392" s="4"/>
      <c r="BM392" s="4"/>
      <c r="BN392" s="4"/>
      <c r="BO392" s="4"/>
      <c r="BP392" s="4"/>
    </row>
    <row r="393" spans="1:68" s="5" customFormat="1" ht="11.25" customHeight="1" x14ac:dyDescent="0.2">
      <c r="A393" s="25"/>
      <c r="B393" s="25"/>
      <c r="C393" s="25"/>
      <c r="D393" s="25"/>
      <c r="H393" s="136" t="str">
        <f t="shared" si="143"/>
        <v>Grozdje-vertikala podravska</v>
      </c>
      <c r="I393" s="151" t="str">
        <f>+I$89</f>
        <v>Neto dodana vrednost</v>
      </c>
      <c r="J393" s="168" t="str">
        <f>+J$89</f>
        <v>EUR/ha</v>
      </c>
      <c r="K393" s="169">
        <f>+K392-K390</f>
        <v>-974.06047198051897</v>
      </c>
      <c r="L393" s="169">
        <f>+L392-L390</f>
        <v>-625.35580522556802</v>
      </c>
      <c r="M393" s="170"/>
      <c r="N393" s="8"/>
      <c r="O393" s="169">
        <f>+O392-O390</f>
        <v>1073.5313357015975</v>
      </c>
      <c r="P393" s="169">
        <f>+P392-P390</f>
        <v>193.32509287621679</v>
      </c>
      <c r="Q393" s="169">
        <f>+Q392-Q390</f>
        <v>-625.35580522556802</v>
      </c>
      <c r="R393" s="169">
        <f>+R392-R390</f>
        <v>-1013.658492308092</v>
      </c>
      <c r="S393" s="169">
        <f t="shared" ref="S393:T393" si="163">+S392-S390</f>
        <v>0.36830977193540093</v>
      </c>
      <c r="T393" s="169">
        <f t="shared" si="163"/>
        <v>-481.90832494210918</v>
      </c>
      <c r="U393" s="1"/>
      <c r="V393" s="9"/>
      <c r="W393" s="155"/>
      <c r="X393" s="155"/>
      <c r="Y393" s="155"/>
      <c r="Z393" s="155"/>
      <c r="AA393" s="155"/>
      <c r="AB393" s="155"/>
      <c r="AC393" s="8"/>
      <c r="AD393" s="8"/>
      <c r="AE393" s="8"/>
      <c r="AF393" s="8"/>
      <c r="AG393" s="8"/>
      <c r="AH393" s="8"/>
      <c r="AI393" s="8"/>
      <c r="AJ393" s="8"/>
      <c r="AK393" s="8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Y393" s="38"/>
      <c r="AZ393" s="38"/>
      <c r="BC393" s="9"/>
      <c r="BD393" s="9"/>
      <c r="BE393" s="8"/>
      <c r="BF393" s="8"/>
      <c r="BG393" s="91"/>
      <c r="BH393" s="71"/>
      <c r="BI393" s="8"/>
      <c r="BJ393" s="8"/>
      <c r="BK393" s="8"/>
      <c r="BL393" s="8"/>
      <c r="BM393" s="8"/>
      <c r="BN393" s="8"/>
      <c r="BO393" s="8"/>
      <c r="BP393" s="8"/>
    </row>
    <row r="394" spans="1:68" s="5" customFormat="1" ht="11.25" customHeight="1" x14ac:dyDescent="0.25">
      <c r="A394" s="25" t="s">
        <v>25</v>
      </c>
      <c r="B394" s="25" t="s">
        <v>24</v>
      </c>
      <c r="C394" s="25"/>
      <c r="D394" s="25"/>
      <c r="F394" s="29"/>
      <c r="G394" s="29"/>
      <c r="H394" s="136" t="str">
        <f t="shared" si="143"/>
        <v>Grozdje-vertikala podravska</v>
      </c>
      <c r="I394" s="152" t="str">
        <f>+I$90</f>
        <v>Neto dodana vrednost/uro</v>
      </c>
      <c r="J394" s="167" t="str">
        <f>+J$90</f>
        <v>EUR/uro</v>
      </c>
      <c r="K394" s="171">
        <v>-3.6377534186793197</v>
      </c>
      <c r="L394" s="171">
        <v>-2.3346492927240186</v>
      </c>
      <c r="M394" s="172"/>
      <c r="N394" s="8"/>
      <c r="O394" s="171">
        <v>3.7552761176080542</v>
      </c>
      <c r="P394" s="171">
        <v>0.69810227240567346</v>
      </c>
      <c r="Q394" s="171">
        <v>-2.3346492927240186</v>
      </c>
      <c r="R394" s="171">
        <v>-3.8488155917032869</v>
      </c>
      <c r="S394" s="171">
        <v>1.2028661894775176E-3</v>
      </c>
      <c r="T394" s="171">
        <v>-1.6007478725251516</v>
      </c>
      <c r="U394" s="1"/>
      <c r="V394" s="1"/>
      <c r="W394" s="156"/>
      <c r="X394" s="156"/>
      <c r="Y394" s="156"/>
      <c r="Z394" s="156"/>
      <c r="AA394" s="156"/>
      <c r="AB394" s="156"/>
      <c r="AC394" s="4"/>
      <c r="AD394" s="4"/>
      <c r="AE394" s="339" t="s">
        <v>226</v>
      </c>
      <c r="AF394" s="340"/>
      <c r="AG394" s="340"/>
      <c r="AH394" s="340"/>
      <c r="AI394" s="340"/>
      <c r="AJ394" s="340"/>
      <c r="AK394" s="340"/>
      <c r="AL394" s="340"/>
      <c r="AM394" s="340"/>
      <c r="AN394" s="1"/>
      <c r="AO394" s="1"/>
      <c r="AP394" s="1"/>
      <c r="AQ394" s="1"/>
      <c r="AR394" s="1"/>
      <c r="AS394" s="1"/>
      <c r="AT394" s="1"/>
      <c r="AU394" s="1"/>
      <c r="AY394" s="38"/>
      <c r="AZ394" s="38"/>
      <c r="BC394" s="1"/>
      <c r="BD394" s="19"/>
      <c r="BE394" s="41"/>
      <c r="BF394" s="69"/>
      <c r="BG394" s="91"/>
      <c r="BH394" s="70"/>
      <c r="BI394" s="41"/>
      <c r="BJ394" s="4"/>
      <c r="BK394" s="69"/>
      <c r="BL394" s="41"/>
      <c r="BM394" s="41"/>
      <c r="BN394" s="41"/>
      <c r="BO394" s="41"/>
      <c r="BP394" s="4"/>
    </row>
    <row r="395" spans="1:68" s="5" customFormat="1" ht="11.25" customHeight="1" x14ac:dyDescent="0.25">
      <c r="A395" s="37" t="s">
        <v>67</v>
      </c>
      <c r="B395" s="25"/>
      <c r="C395" s="25"/>
      <c r="D395" s="25"/>
      <c r="H395" s="136" t="str">
        <f t="shared" si="143"/>
        <v>Grozdje-vertikala podravska</v>
      </c>
      <c r="I395" s="1"/>
      <c r="J395" s="19"/>
      <c r="K395" s="35">
        <v>0</v>
      </c>
      <c r="L395" s="35">
        <v>0</v>
      </c>
      <c r="M395" s="36"/>
      <c r="N395" s="36"/>
      <c r="O395" s="35">
        <v>0</v>
      </c>
      <c r="P395" s="35">
        <v>0</v>
      </c>
      <c r="Q395" s="35">
        <v>0</v>
      </c>
      <c r="R395" s="35">
        <v>0</v>
      </c>
      <c r="S395" s="35"/>
      <c r="T395" s="35"/>
      <c r="U395" s="35"/>
      <c r="V395" s="1"/>
      <c r="W395" s="4"/>
      <c r="X395" s="4"/>
      <c r="Y395" s="4"/>
      <c r="Z395" s="4"/>
      <c r="AA395" s="4"/>
      <c r="AB395" s="4"/>
      <c r="AC395" s="4"/>
      <c r="AD395" s="4"/>
      <c r="AE395" s="192" t="str">
        <f>AF$10&amp;""&amp;$L$56</f>
        <v>prva ocena letine 2021</v>
      </c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BC395" s="1"/>
      <c r="BD395" s="19"/>
      <c r="BE395" s="35"/>
      <c r="BF395" s="35"/>
      <c r="BG395" s="91"/>
      <c r="BH395" s="35"/>
      <c r="BI395" s="36"/>
      <c r="BJ395" s="36"/>
      <c r="BK395" s="35"/>
      <c r="BL395" s="35"/>
      <c r="BM395" s="35"/>
      <c r="BN395" s="35"/>
      <c r="BO395" s="35"/>
      <c r="BP395" s="4"/>
    </row>
    <row r="396" spans="1:68" s="5" customFormat="1" ht="10.199999999999999" x14ac:dyDescent="0.2">
      <c r="A396" s="25"/>
      <c r="B396" s="25"/>
      <c r="C396" s="25"/>
      <c r="D396" s="25"/>
      <c r="G396" s="29"/>
      <c r="H396" s="136" t="str">
        <f>+I398</f>
        <v>Grozdje-terase primorska</v>
      </c>
      <c r="I396" s="141" t="s">
        <v>148</v>
      </c>
      <c r="J396" s="140"/>
      <c r="K396" s="140"/>
      <c r="L396" s="140"/>
      <c r="M396" s="140"/>
      <c r="N396" s="140"/>
      <c r="O396" s="140"/>
      <c r="P396" s="140"/>
      <c r="Q396" s="140"/>
      <c r="R396" s="140"/>
      <c r="S396" s="140"/>
      <c r="T396" s="140"/>
      <c r="U396" s="140"/>
      <c r="V396" s="140"/>
      <c r="W396" s="140"/>
      <c r="X396" s="140"/>
      <c r="Y396" s="140"/>
      <c r="Z396" s="140"/>
      <c r="AA396" s="140"/>
      <c r="AB396" s="140"/>
      <c r="AC396" s="140"/>
      <c r="AD396" s="140"/>
      <c r="AE396" s="140"/>
      <c r="AF396" s="140"/>
      <c r="AG396" s="140"/>
      <c r="AH396" s="140"/>
      <c r="AI396" s="140"/>
      <c r="AJ396" s="140"/>
      <c r="AK396" s="140"/>
      <c r="AL396" s="140"/>
      <c r="AM396" s="141"/>
      <c r="AN396" s="1"/>
      <c r="AO396" s="1"/>
      <c r="AP396" s="1"/>
      <c r="AQ396" s="1"/>
      <c r="AR396" s="1"/>
      <c r="AS396" s="1"/>
      <c r="AT396" s="1"/>
      <c r="AU396" s="1"/>
      <c r="BC396" s="13"/>
      <c r="BD396" s="27"/>
      <c r="BE396" s="29"/>
      <c r="BF396" s="29"/>
      <c r="BG396" s="91"/>
      <c r="BH396" s="28"/>
      <c r="BI396" s="27"/>
      <c r="BJ396" s="29"/>
      <c r="BK396" s="29"/>
      <c r="BL396" s="29"/>
      <c r="BM396" s="29"/>
      <c r="BN396" s="29"/>
      <c r="BO396" s="27"/>
      <c r="BP396" s="27"/>
    </row>
    <row r="397" spans="1:68" s="5" customFormat="1" ht="10.199999999999999" x14ac:dyDescent="0.2">
      <c r="A397" s="25"/>
      <c r="B397" s="25"/>
      <c r="C397" s="25"/>
      <c r="D397" s="25"/>
      <c r="H397" s="136" t="str">
        <f t="shared" ref="H397:H403" si="164">+H396</f>
        <v>Grozdje-terase primorska</v>
      </c>
      <c r="I397" s="141" t="s">
        <v>149</v>
      </c>
      <c r="J397" s="140"/>
      <c r="K397" s="140" t="str">
        <f>+F398</f>
        <v>grozpri</v>
      </c>
      <c r="L397" s="140" t="str">
        <f>+K397</f>
        <v>grozpri</v>
      </c>
      <c r="M397" s="140"/>
      <c r="N397" s="140"/>
      <c r="O397" s="143" t="s">
        <v>126</v>
      </c>
      <c r="P397" s="143" t="s">
        <v>127</v>
      </c>
      <c r="Q397" s="143" t="s">
        <v>125</v>
      </c>
      <c r="R397" s="143" t="s">
        <v>128</v>
      </c>
      <c r="S397" s="143" t="s">
        <v>129</v>
      </c>
      <c r="T397" s="143" t="s">
        <v>130</v>
      </c>
      <c r="U397" s="140"/>
      <c r="V397" s="140"/>
      <c r="W397" s="140"/>
      <c r="X397" s="140"/>
      <c r="Y397" s="140"/>
      <c r="Z397" s="140" t="s">
        <v>64</v>
      </c>
      <c r="AA397" s="140"/>
      <c r="AB397" s="140"/>
      <c r="AC397" s="140"/>
      <c r="AD397" s="140"/>
      <c r="AE397" s="140"/>
      <c r="AF397" s="140"/>
      <c r="AG397" s="140"/>
      <c r="AH397" s="140"/>
      <c r="AI397" s="140"/>
      <c r="AJ397" s="140"/>
      <c r="AK397" s="140"/>
      <c r="AL397" s="140"/>
      <c r="AM397" s="141"/>
      <c r="AN397" s="1"/>
      <c r="AO397" s="1"/>
      <c r="AP397" s="1"/>
      <c r="AQ397" s="1"/>
      <c r="AR397" s="1"/>
      <c r="AS397" s="1"/>
      <c r="AT397" s="1"/>
      <c r="AU397" s="1"/>
      <c r="BC397" s="13"/>
      <c r="BD397" s="27"/>
      <c r="BE397" s="12"/>
      <c r="BF397" s="12"/>
      <c r="BG397" s="91"/>
      <c r="BH397" s="68"/>
      <c r="BI397" s="68"/>
      <c r="BJ397" s="68"/>
      <c r="BK397" s="12"/>
      <c r="BL397" s="12"/>
      <c r="BM397" s="12"/>
      <c r="BN397" s="12"/>
      <c r="BO397" s="12"/>
      <c r="BP397" s="12"/>
    </row>
    <row r="398" spans="1:68" s="5" customFormat="1" ht="12" customHeight="1" x14ac:dyDescent="0.25">
      <c r="A398" s="25"/>
      <c r="B398" s="25"/>
      <c r="C398" s="25"/>
      <c r="D398" s="25"/>
      <c r="F398" s="5" t="s">
        <v>124</v>
      </c>
      <c r="H398" s="136" t="str">
        <f t="shared" si="164"/>
        <v>Grozdje-terase primorska</v>
      </c>
      <c r="I398" s="149" t="s">
        <v>269</v>
      </c>
      <c r="J398" s="158"/>
      <c r="K398" s="185">
        <f>K$52</f>
        <v>2020</v>
      </c>
      <c r="L398" s="185">
        <f>+L$56</f>
        <v>2021</v>
      </c>
      <c r="M398" s="341" t="str">
        <f>"Indeks "&amp;L398&amp;"/"&amp;$K398</f>
        <v>Indeks 2021/2020</v>
      </c>
      <c r="N398" s="186"/>
      <c r="O398" s="179"/>
      <c r="P398" s="179"/>
      <c r="Q398" s="179" t="str">
        <f>+L398&amp;" "&amp;L$51</f>
        <v>2021 (prva ocena)</v>
      </c>
      <c r="R398" s="179"/>
      <c r="S398" s="179"/>
      <c r="T398" s="179"/>
      <c r="U398" s="142"/>
      <c r="V398" s="142"/>
      <c r="W398" s="179"/>
      <c r="X398" s="179"/>
      <c r="Y398" s="179" t="s">
        <v>160</v>
      </c>
      <c r="Z398" s="179"/>
      <c r="AA398" s="179"/>
      <c r="AB398" s="179"/>
      <c r="AC398" s="66"/>
      <c r="AD398" s="66"/>
      <c r="AE398" s="66"/>
      <c r="AF398" s="66"/>
      <c r="AG398" s="66"/>
      <c r="AH398" s="66"/>
      <c r="AI398" s="66"/>
      <c r="AJ398" s="66"/>
      <c r="AK398" s="66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BC398" s="103"/>
      <c r="BD398" s="1"/>
      <c r="BE398" s="66"/>
      <c r="BF398" s="66"/>
      <c r="BG398" s="91"/>
      <c r="BH398" s="34"/>
      <c r="BI398" s="67"/>
      <c r="BJ398" s="34"/>
      <c r="BK398" s="66"/>
      <c r="BL398" s="66"/>
      <c r="BM398" s="66"/>
      <c r="BN398" s="66"/>
      <c r="BO398" s="66"/>
      <c r="BP398" s="66"/>
    </row>
    <row r="399" spans="1:68" s="5" customFormat="1" ht="12" x14ac:dyDescent="0.25">
      <c r="A399" s="25"/>
      <c r="B399" s="25"/>
      <c r="C399" s="25"/>
      <c r="D399" s="25"/>
      <c r="H399" s="136" t="str">
        <f t="shared" si="164"/>
        <v>Grozdje-terase primorska</v>
      </c>
      <c r="I399" s="150" t="s">
        <v>84</v>
      </c>
      <c r="J399" s="158"/>
      <c r="K399" s="185"/>
      <c r="L399" s="330" t="str">
        <f>IF(ISBLANK(L$51),"",L$51)</f>
        <v>(prva ocena)</v>
      </c>
      <c r="M399" s="342"/>
      <c r="N399" s="186"/>
      <c r="O399" s="187" t="s">
        <v>83</v>
      </c>
      <c r="P399" s="185" t="s">
        <v>82</v>
      </c>
      <c r="Q399" s="214" t="s">
        <v>81</v>
      </c>
      <c r="R399" s="185" t="s">
        <v>80</v>
      </c>
      <c r="S399" s="185" t="s">
        <v>79</v>
      </c>
      <c r="T399" s="205" t="s">
        <v>78</v>
      </c>
      <c r="U399" s="191"/>
      <c r="V399" s="191"/>
      <c r="W399" s="188" t="str">
        <f>O399</f>
        <v>M 1</v>
      </c>
      <c r="X399" s="185" t="str">
        <f t="shared" ref="X399:AB399" si="165">P399</f>
        <v>M 2</v>
      </c>
      <c r="Y399" s="214" t="str">
        <f t="shared" si="165"/>
        <v>M 3</v>
      </c>
      <c r="Z399" s="185" t="str">
        <f t="shared" si="165"/>
        <v>M 4</v>
      </c>
      <c r="AA399" s="185" t="str">
        <f t="shared" si="165"/>
        <v>M 5</v>
      </c>
      <c r="AB399" s="188" t="str">
        <f t="shared" si="165"/>
        <v>M 6</v>
      </c>
      <c r="AC399" s="66"/>
      <c r="AD399" s="66"/>
      <c r="AE399" s="66"/>
      <c r="AF399" s="66"/>
      <c r="AG399" s="66"/>
      <c r="AH399" s="66"/>
      <c r="AI399" s="66"/>
      <c r="AJ399" s="66"/>
      <c r="AK399" s="66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BC399" s="9"/>
      <c r="BD399" s="1"/>
      <c r="BE399" s="66"/>
      <c r="BF399" s="66"/>
      <c r="BG399" s="91"/>
      <c r="BH399" s="34"/>
      <c r="BI399" s="66"/>
      <c r="BJ399" s="66"/>
      <c r="BK399" s="66"/>
      <c r="BL399" s="66"/>
      <c r="BM399" s="66"/>
      <c r="BN399" s="66"/>
      <c r="BO399" s="66"/>
      <c r="BP399" s="66"/>
    </row>
    <row r="400" spans="1:68" s="5" customFormat="1" ht="10.199999999999999" x14ac:dyDescent="0.2">
      <c r="A400" s="25" t="s">
        <v>22</v>
      </c>
      <c r="B400" s="25"/>
      <c r="C400" s="25"/>
      <c r="D400" s="25"/>
      <c r="H400" s="136" t="str">
        <f t="shared" si="164"/>
        <v>Grozdje-terase primorska</v>
      </c>
      <c r="I400" s="9" t="s">
        <v>21</v>
      </c>
      <c r="J400" s="159" t="s">
        <v>20</v>
      </c>
      <c r="K400" s="160">
        <v>9000</v>
      </c>
      <c r="L400" s="160">
        <v>9000</v>
      </c>
      <c r="M400" s="160"/>
      <c r="N400" s="78"/>
      <c r="O400" s="178">
        <v>12000</v>
      </c>
      <c r="P400" s="178">
        <v>10000</v>
      </c>
      <c r="Q400" s="178">
        <v>9000</v>
      </c>
      <c r="R400" s="178">
        <v>8000</v>
      </c>
      <c r="S400" s="178">
        <v>9000</v>
      </c>
      <c r="T400" s="178">
        <v>9000</v>
      </c>
      <c r="U400" s="2" t="e">
        <v>#N/A</v>
      </c>
      <c r="V400" s="2"/>
      <c r="W400" s="62">
        <f>O400/$Q400*100</f>
        <v>133.33333333333331</v>
      </c>
      <c r="X400" s="62">
        <f t="shared" ref="X400:AB415" si="166">P400/$Q400*100</f>
        <v>111.11111111111111</v>
      </c>
      <c r="Y400" s="62">
        <f t="shared" si="166"/>
        <v>100</v>
      </c>
      <c r="Z400" s="62">
        <f t="shared" si="166"/>
        <v>88.888888888888886</v>
      </c>
      <c r="AA400" s="62">
        <f t="shared" si="166"/>
        <v>100</v>
      </c>
      <c r="AB400" s="62">
        <f t="shared" si="166"/>
        <v>100</v>
      </c>
      <c r="AC400" s="82"/>
      <c r="AD400" s="82"/>
      <c r="AE400" s="82"/>
      <c r="AF400" s="82"/>
      <c r="AG400" s="82"/>
      <c r="AH400" s="82"/>
      <c r="AI400" s="82"/>
      <c r="AJ400" s="82"/>
      <c r="AK400" s="82"/>
      <c r="AL400" s="1"/>
      <c r="AM400" s="9"/>
      <c r="AN400" s="1"/>
      <c r="AO400" s="1"/>
      <c r="AP400" s="1"/>
      <c r="AQ400" s="1"/>
      <c r="AR400" s="1"/>
      <c r="AS400" s="1"/>
      <c r="AT400" s="1"/>
      <c r="AU400" s="1"/>
      <c r="BC400" s="9"/>
      <c r="BD400" s="1"/>
      <c r="BE400" s="65"/>
      <c r="BF400" s="65"/>
      <c r="BG400" s="91"/>
      <c r="BH400" s="59"/>
      <c r="BI400" s="58"/>
      <c r="BJ400" s="58"/>
      <c r="BK400" s="65"/>
      <c r="BL400" s="65"/>
      <c r="BM400" s="65"/>
      <c r="BN400" s="65"/>
      <c r="BO400" s="65"/>
      <c r="BP400" s="65"/>
    </row>
    <row r="401" spans="1:68" s="5" customFormat="1" ht="10.199999999999999" x14ac:dyDescent="0.2">
      <c r="A401" s="25"/>
      <c r="B401" s="25"/>
      <c r="C401" s="25"/>
      <c r="D401" s="25"/>
      <c r="H401" s="136" t="str">
        <f t="shared" si="164"/>
        <v>Grozdje-terase primorska</v>
      </c>
      <c r="I401" s="9" t="s">
        <v>203</v>
      </c>
      <c r="J401" s="159" t="s">
        <v>75</v>
      </c>
      <c r="K401" s="161">
        <f>K400/K402</f>
        <v>2.25</v>
      </c>
      <c r="L401" s="161">
        <f>L400/L402</f>
        <v>2.25</v>
      </c>
      <c r="M401" s="160"/>
      <c r="N401" s="78"/>
      <c r="O401" s="216">
        <f t="shared" ref="O401:U401" si="167">O400/O402</f>
        <v>3</v>
      </c>
      <c r="P401" s="216">
        <f t="shared" si="167"/>
        <v>2.5</v>
      </c>
      <c r="Q401" s="216">
        <f t="shared" si="167"/>
        <v>2.25</v>
      </c>
      <c r="R401" s="216">
        <f t="shared" si="167"/>
        <v>2</v>
      </c>
      <c r="S401" s="216">
        <f t="shared" si="167"/>
        <v>2</v>
      </c>
      <c r="T401" s="216">
        <f t="shared" si="167"/>
        <v>2.5714285714285716</v>
      </c>
      <c r="U401" s="217" t="e">
        <f t="shared" si="167"/>
        <v>#N/A</v>
      </c>
      <c r="V401" s="1"/>
      <c r="W401" s="62">
        <f t="shared" ref="W401:AB432" si="168">O401/$Q401*100</f>
        <v>133.33333333333331</v>
      </c>
      <c r="X401" s="62">
        <f t="shared" si="166"/>
        <v>111.11111111111111</v>
      </c>
      <c r="Y401" s="62">
        <f t="shared" si="166"/>
        <v>100</v>
      </c>
      <c r="Z401" s="62">
        <f t="shared" si="166"/>
        <v>88.888888888888886</v>
      </c>
      <c r="AA401" s="62">
        <f t="shared" si="166"/>
        <v>88.888888888888886</v>
      </c>
      <c r="AB401" s="62">
        <f t="shared" si="166"/>
        <v>114.28571428571431</v>
      </c>
      <c r="AC401" s="82"/>
      <c r="AD401" s="82"/>
      <c r="AE401" s="82"/>
      <c r="AF401" s="82"/>
      <c r="AG401" s="82"/>
      <c r="AH401" s="82"/>
      <c r="AI401" s="82"/>
      <c r="AJ401" s="82"/>
      <c r="AK401" s="82"/>
      <c r="AL401" s="1"/>
      <c r="AM401" s="9"/>
      <c r="AN401" s="1"/>
      <c r="AO401" s="1"/>
      <c r="AP401" s="1"/>
      <c r="AQ401" s="1"/>
      <c r="AR401" s="1"/>
      <c r="AS401" s="1"/>
      <c r="AT401" s="1"/>
      <c r="AU401" s="1"/>
      <c r="BC401" s="9"/>
      <c r="BD401" s="1"/>
      <c r="BE401" s="61"/>
      <c r="BF401" s="61"/>
      <c r="BG401" s="91"/>
      <c r="BH401" s="63"/>
      <c r="BI401" s="61"/>
      <c r="BJ401" s="61"/>
      <c r="BK401" s="61"/>
      <c r="BL401" s="61"/>
      <c r="BM401" s="61"/>
      <c r="BN401" s="61"/>
      <c r="BO401" s="61"/>
      <c r="BP401" s="61"/>
    </row>
    <row r="402" spans="1:68" s="5" customFormat="1" x14ac:dyDescent="0.25">
      <c r="A402" s="60" t="s">
        <v>199</v>
      </c>
      <c r="B402" s="25"/>
      <c r="C402" s="25"/>
      <c r="D402" s="25"/>
      <c r="H402" s="136" t="str">
        <f t="shared" si="164"/>
        <v>Grozdje-terase primorska</v>
      </c>
      <c r="I402" s="9" t="s">
        <v>74</v>
      </c>
      <c r="J402" s="159" t="s">
        <v>73</v>
      </c>
      <c r="K402" s="160">
        <v>4000</v>
      </c>
      <c r="L402" s="160">
        <v>4000</v>
      </c>
      <c r="M402" s="161"/>
      <c r="N402" s="137"/>
      <c r="O402" s="178">
        <v>4000</v>
      </c>
      <c r="P402" s="178">
        <v>4000</v>
      </c>
      <c r="Q402" s="178">
        <v>4000</v>
      </c>
      <c r="R402" s="178">
        <v>4000</v>
      </c>
      <c r="S402" s="178">
        <v>4500</v>
      </c>
      <c r="T402" s="178">
        <v>3500</v>
      </c>
      <c r="U402" s="9">
        <v>3500</v>
      </c>
      <c r="V402" s="9"/>
      <c r="W402" s="62">
        <f t="shared" si="168"/>
        <v>100</v>
      </c>
      <c r="X402" s="62">
        <f t="shared" si="166"/>
        <v>100</v>
      </c>
      <c r="Y402" s="62">
        <f t="shared" si="166"/>
        <v>100</v>
      </c>
      <c r="Z402" s="62">
        <f t="shared" si="166"/>
        <v>100</v>
      </c>
      <c r="AA402" s="62">
        <f t="shared" si="166"/>
        <v>112.5</v>
      </c>
      <c r="AB402" s="62">
        <f t="shared" si="166"/>
        <v>87.5</v>
      </c>
      <c r="AC402" s="82"/>
      <c r="AD402" s="82"/>
      <c r="AE402" s="82"/>
      <c r="AF402" s="82"/>
      <c r="AG402" s="82"/>
      <c r="AH402" s="82"/>
      <c r="AI402" s="82"/>
      <c r="AJ402" s="82"/>
      <c r="AK402" s="82"/>
      <c r="AL402" s="1"/>
      <c r="AM402" s="9"/>
      <c r="AN402" s="1"/>
      <c r="AO402" s="1"/>
      <c r="AP402" s="1"/>
      <c r="AQ402" s="1"/>
      <c r="AR402" s="1"/>
      <c r="AS402" s="1"/>
      <c r="AT402" s="1"/>
      <c r="AU402" s="1"/>
      <c r="BC402" s="9"/>
      <c r="BD402" s="1"/>
      <c r="BE402" s="58"/>
      <c r="BF402" s="58"/>
      <c r="BG402" s="91"/>
      <c r="BH402" s="59"/>
      <c r="BI402" s="58"/>
      <c r="BJ402" s="58"/>
      <c r="BK402" s="58"/>
      <c r="BL402" s="58"/>
      <c r="BM402" s="58"/>
      <c r="BN402" s="58"/>
      <c r="BO402" s="58"/>
      <c r="BP402" s="58"/>
    </row>
    <row r="403" spans="1:68" s="5" customFormat="1" ht="6" customHeight="1" x14ac:dyDescent="0.25">
      <c r="A403" s="60"/>
      <c r="B403" s="25"/>
      <c r="C403" s="25"/>
      <c r="D403" s="25"/>
      <c r="H403" s="136" t="str">
        <f t="shared" si="164"/>
        <v>Grozdje-terase primorska</v>
      </c>
      <c r="I403" s="9"/>
      <c r="J403" s="159"/>
      <c r="K403" s="163"/>
      <c r="L403" s="163"/>
      <c r="M403" s="164"/>
      <c r="N403" s="8"/>
      <c r="O403" s="177"/>
      <c r="P403" s="177"/>
      <c r="Q403" s="177"/>
      <c r="R403" s="177"/>
      <c r="S403" s="177"/>
      <c r="T403" s="177"/>
      <c r="U403" s="1"/>
      <c r="V403" s="1"/>
      <c r="W403" s="62"/>
      <c r="X403" s="62"/>
      <c r="Y403" s="62"/>
      <c r="Z403" s="62"/>
      <c r="AA403" s="62"/>
      <c r="AB403" s="62"/>
      <c r="AC403" s="26"/>
      <c r="AD403" s="26"/>
      <c r="AE403" s="26"/>
      <c r="AF403" s="26"/>
      <c r="AG403" s="26"/>
      <c r="AH403" s="26"/>
      <c r="AI403" s="26"/>
      <c r="AJ403" s="26"/>
      <c r="AK403" s="26"/>
      <c r="AL403" s="1"/>
      <c r="AM403" s="9"/>
      <c r="AN403" s="1"/>
      <c r="AO403" s="1"/>
      <c r="AP403" s="1"/>
      <c r="AQ403" s="1"/>
      <c r="AR403" s="1"/>
      <c r="AS403" s="1"/>
      <c r="AT403" s="1"/>
      <c r="AU403" s="1"/>
      <c r="BC403" s="9"/>
      <c r="BD403" s="1"/>
      <c r="BE403" s="58"/>
      <c r="BF403" s="58"/>
      <c r="BG403" s="91"/>
      <c r="BH403" s="59"/>
      <c r="BI403" s="58"/>
      <c r="BJ403" s="58"/>
      <c r="BK403" s="58"/>
      <c r="BL403" s="58"/>
      <c r="BM403" s="58"/>
      <c r="BN403" s="58"/>
      <c r="BO403" s="58"/>
      <c r="BP403" s="58"/>
    </row>
    <row r="404" spans="1:68" s="5" customFormat="1" ht="11.25" customHeight="1" x14ac:dyDescent="0.2">
      <c r="A404" s="25"/>
      <c r="B404" s="25"/>
      <c r="C404" s="25"/>
      <c r="D404" s="25"/>
      <c r="H404" s="136" t="str">
        <f>+H398</f>
        <v>Grozdje-terase primorska</v>
      </c>
      <c r="I404" s="151" t="str">
        <f>+I$62</f>
        <v>IZVLEČEK ANALITIČNE KALKULACIJE</v>
      </c>
      <c r="J404" s="165"/>
      <c r="K404" s="166"/>
      <c r="L404" s="166"/>
      <c r="M404" s="167"/>
      <c r="N404" s="1"/>
      <c r="O404" s="166"/>
      <c r="P404" s="166"/>
      <c r="Q404" s="166"/>
      <c r="R404" s="166"/>
      <c r="S404" s="166"/>
      <c r="T404" s="166"/>
      <c r="U404" s="1"/>
      <c r="V404" s="1"/>
      <c r="W404" s="154"/>
      <c r="X404" s="154"/>
      <c r="Y404" s="154"/>
      <c r="Z404" s="154"/>
      <c r="AA404" s="154"/>
      <c r="AB404" s="154"/>
      <c r="AC404" s="76"/>
      <c r="AD404" s="76"/>
      <c r="AE404" s="76"/>
      <c r="AF404" s="76"/>
      <c r="AG404" s="76"/>
      <c r="AH404" s="76"/>
      <c r="AI404" s="76"/>
      <c r="AJ404" s="76"/>
      <c r="AK404" s="76"/>
      <c r="AL404" s="1"/>
      <c r="AM404" s="9"/>
      <c r="AN404" s="1"/>
      <c r="AO404" s="1"/>
      <c r="AP404" s="1"/>
      <c r="AQ404" s="1"/>
      <c r="AR404" s="1"/>
      <c r="AS404" s="1"/>
      <c r="AT404" s="1"/>
      <c r="AU404" s="1"/>
      <c r="BC404" s="9"/>
      <c r="BD404" s="1"/>
      <c r="BE404" s="56"/>
      <c r="BF404" s="56"/>
      <c r="BG404" s="91"/>
      <c r="BH404" s="57"/>
      <c r="BI404" s="2"/>
      <c r="BJ404" s="2"/>
      <c r="BK404" s="56"/>
      <c r="BL404" s="56"/>
      <c r="BM404" s="56"/>
      <c r="BN404" s="56"/>
      <c r="BO404" s="56"/>
      <c r="BP404" s="56"/>
    </row>
    <row r="405" spans="1:68" s="5" customFormat="1" ht="11.25" customHeight="1" x14ac:dyDescent="0.2">
      <c r="A405" s="25"/>
      <c r="B405" s="25"/>
      <c r="C405" s="25"/>
      <c r="D405" s="25"/>
      <c r="H405" s="136" t="str">
        <f t="shared" ref="H405:H433" si="169">+H404</f>
        <v>Grozdje-terase primorska</v>
      </c>
      <c r="I405" s="151" t="str">
        <f>+I$63</f>
        <v>Stroški blaga in storitev</v>
      </c>
      <c r="J405" s="168" t="str">
        <f>+J$63</f>
        <v>EUR/ha</v>
      </c>
      <c r="K405" s="169">
        <f>+K415-K413-K412</f>
        <v>3587.6840940187158</v>
      </c>
      <c r="L405" s="169">
        <f>+L415-L413-L412</f>
        <v>3798.3613972988551</v>
      </c>
      <c r="M405" s="170">
        <f>L405/K405*100</f>
        <v>105.8722367343149</v>
      </c>
      <c r="N405" s="8"/>
      <c r="O405" s="169">
        <f t="shared" ref="O405:U405" si="170">+O415-O413-O412</f>
        <v>4108.4884531806592</v>
      </c>
      <c r="P405" s="169">
        <f t="shared" si="170"/>
        <v>3908.6477503761389</v>
      </c>
      <c r="Q405" s="169">
        <f t="shared" si="170"/>
        <v>3798.3613972988551</v>
      </c>
      <c r="R405" s="169">
        <f t="shared" si="170"/>
        <v>3684.1080757742911</v>
      </c>
      <c r="S405" s="169">
        <f t="shared" si="170"/>
        <v>3856.3255133558141</v>
      </c>
      <c r="T405" s="169">
        <f t="shared" si="170"/>
        <v>3740.3972812418929</v>
      </c>
      <c r="U405" s="1" t="e">
        <f t="shared" si="170"/>
        <v>#N/A</v>
      </c>
      <c r="V405" s="9"/>
      <c r="W405" s="155">
        <f t="shared" si="168"/>
        <v>108.16475904852936</v>
      </c>
      <c r="X405" s="155">
        <f t="shared" si="166"/>
        <v>102.90352448178608</v>
      </c>
      <c r="Y405" s="155">
        <f t="shared" si="166"/>
        <v>100</v>
      </c>
      <c r="Z405" s="155">
        <f t="shared" si="166"/>
        <v>96.992036576461274</v>
      </c>
      <c r="AA405" s="155">
        <f t="shared" si="166"/>
        <v>101.52602951625876</v>
      </c>
      <c r="AB405" s="155">
        <f t="shared" si="166"/>
        <v>98.473970483741155</v>
      </c>
      <c r="AC405" s="8"/>
      <c r="AD405" s="8"/>
      <c r="AE405" s="8"/>
      <c r="AF405" s="8"/>
      <c r="AG405" s="8"/>
      <c r="AH405" s="8"/>
      <c r="AI405" s="8"/>
      <c r="AJ405" s="8"/>
      <c r="AK405" s="8"/>
      <c r="AL405" s="9"/>
      <c r="AM405" s="9"/>
      <c r="AN405" s="1"/>
      <c r="AO405" s="1"/>
      <c r="AP405" s="1"/>
      <c r="AQ405" s="1"/>
      <c r="AR405" s="1"/>
      <c r="AS405" s="1"/>
      <c r="AT405" s="1"/>
      <c r="AU405" s="1"/>
      <c r="AY405" s="38"/>
      <c r="AZ405" s="38"/>
      <c r="BC405" s="9"/>
      <c r="BD405" s="9"/>
      <c r="BE405" s="55"/>
      <c r="BF405" s="55"/>
      <c r="BG405" s="91"/>
      <c r="BH405" s="55"/>
      <c r="BI405" s="18"/>
      <c r="BJ405" s="55"/>
      <c r="BK405" s="55"/>
      <c r="BL405" s="55"/>
      <c r="BM405" s="55"/>
      <c r="BN405" s="55"/>
      <c r="BO405" s="55"/>
      <c r="BP405" s="55"/>
    </row>
    <row r="406" spans="1:68" s="5" customFormat="1" ht="11.25" customHeight="1" x14ac:dyDescent="0.2">
      <c r="A406" s="25" t="s">
        <v>19</v>
      </c>
      <c r="B406" s="25"/>
      <c r="C406" s="25"/>
      <c r="D406" s="25"/>
      <c r="H406" s="136" t="str">
        <f t="shared" si="169"/>
        <v>Grozdje-terase primorska</v>
      </c>
      <c r="I406" s="152" t="str">
        <f>+I$64</f>
        <v xml:space="preserve">  Od tega: seme</v>
      </c>
      <c r="J406" s="165" t="str">
        <f>+J$64</f>
        <v>EUR/ha</v>
      </c>
      <c r="K406" s="171">
        <v>0</v>
      </c>
      <c r="L406" s="171">
        <v>0</v>
      </c>
      <c r="M406" s="172"/>
      <c r="N406" s="8"/>
      <c r="O406" s="171">
        <v>0</v>
      </c>
      <c r="P406" s="171">
        <v>0</v>
      </c>
      <c r="Q406" s="171">
        <v>0</v>
      </c>
      <c r="R406" s="171">
        <v>0</v>
      </c>
      <c r="S406" s="171">
        <v>0</v>
      </c>
      <c r="T406" s="171">
        <v>0</v>
      </c>
      <c r="U406" s="1" t="e">
        <v>#N/A</v>
      </c>
      <c r="V406" s="1"/>
      <c r="W406" s="156"/>
      <c r="X406" s="156"/>
      <c r="Y406" s="156"/>
      <c r="Z406" s="156"/>
      <c r="AA406" s="156"/>
      <c r="AB406" s="156"/>
      <c r="AC406" s="4"/>
      <c r="AD406" s="4"/>
      <c r="AE406" s="4"/>
      <c r="AF406" s="4"/>
      <c r="AG406" s="4"/>
      <c r="AH406" s="4"/>
      <c r="AI406" s="4"/>
      <c r="AJ406" s="4"/>
      <c r="AK406" s="4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Y406" s="38"/>
      <c r="AZ406" s="38"/>
      <c r="BC406" s="1"/>
      <c r="BD406" s="1"/>
      <c r="BE406" s="47"/>
      <c r="BF406" s="47"/>
      <c r="BG406" s="91"/>
      <c r="BH406" s="42"/>
      <c r="BI406" s="7"/>
      <c r="BJ406" s="39"/>
      <c r="BK406" s="47"/>
      <c r="BL406" s="47"/>
      <c r="BM406" s="47"/>
      <c r="BN406" s="47"/>
      <c r="BO406" s="47"/>
      <c r="BP406" s="47"/>
    </row>
    <row r="407" spans="1:68" s="5" customFormat="1" ht="11.25" customHeight="1" x14ac:dyDescent="0.2">
      <c r="A407" s="25" t="s">
        <v>18</v>
      </c>
      <c r="B407" s="25" t="s">
        <v>17</v>
      </c>
      <c r="C407" s="25"/>
      <c r="D407" s="25"/>
      <c r="H407" s="136" t="str">
        <f t="shared" si="169"/>
        <v>Grozdje-terase primorska</v>
      </c>
      <c r="I407" s="152" t="str">
        <f>+I$65</f>
        <v xml:space="preserve">                 gnojila</v>
      </c>
      <c r="J407" s="165" t="str">
        <f>+J$65</f>
        <v>EUR/ha</v>
      </c>
      <c r="K407" s="171">
        <v>150.92018840645397</v>
      </c>
      <c r="L407" s="171">
        <v>154.05170338820633</v>
      </c>
      <c r="M407" s="172">
        <f t="shared" ref="M407:M415" si="171">L407/K407*100</f>
        <v>102.07494770237011</v>
      </c>
      <c r="N407" s="8"/>
      <c r="O407" s="171">
        <v>180.71731605758802</v>
      </c>
      <c r="P407" s="171">
        <v>168.54577578311992</v>
      </c>
      <c r="Q407" s="171">
        <v>154.05170338820633</v>
      </c>
      <c r="R407" s="171">
        <v>136.90225042535883</v>
      </c>
      <c r="S407" s="171">
        <v>154.05170338820633</v>
      </c>
      <c r="T407" s="171">
        <v>154.05170338820633</v>
      </c>
      <c r="U407" s="1" t="e">
        <v>#N/A</v>
      </c>
      <c r="V407" s="1"/>
      <c r="W407" s="156">
        <f t="shared" si="168"/>
        <v>117.30952146772763</v>
      </c>
      <c r="X407" s="156">
        <f t="shared" si="166"/>
        <v>109.40857652082489</v>
      </c>
      <c r="Y407" s="156">
        <f t="shared" si="166"/>
        <v>100</v>
      </c>
      <c r="Z407" s="156">
        <f t="shared" si="166"/>
        <v>88.867729089868405</v>
      </c>
      <c r="AA407" s="156">
        <f t="shared" si="166"/>
        <v>100</v>
      </c>
      <c r="AB407" s="156">
        <f t="shared" si="166"/>
        <v>100</v>
      </c>
      <c r="AC407" s="4"/>
      <c r="AD407" s="4"/>
      <c r="AE407" s="4"/>
      <c r="AF407" s="4"/>
      <c r="AG407" s="4"/>
      <c r="AH407" s="4"/>
      <c r="AI407" s="4"/>
      <c r="AJ407" s="4"/>
      <c r="AK407" s="4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Y407" s="38"/>
      <c r="AZ407" s="38"/>
      <c r="BC407" s="1"/>
      <c r="BD407" s="1"/>
      <c r="BE407" s="47"/>
      <c r="BF407" s="47"/>
      <c r="BG407" s="91"/>
      <c r="BH407" s="42"/>
      <c r="BI407" s="7"/>
      <c r="BJ407" s="39"/>
      <c r="BK407" s="47"/>
      <c r="BL407" s="47"/>
      <c r="BM407" s="47"/>
      <c r="BN407" s="47"/>
      <c r="BO407" s="47"/>
      <c r="BP407" s="47"/>
    </row>
    <row r="408" spans="1:68" s="5" customFormat="1" ht="11.25" customHeight="1" x14ac:dyDescent="0.2">
      <c r="A408" s="25" t="s">
        <v>16</v>
      </c>
      <c r="B408" s="25"/>
      <c r="C408" s="25"/>
      <c r="D408" s="25"/>
      <c r="H408" s="136" t="str">
        <f t="shared" si="169"/>
        <v>Grozdje-terase primorska</v>
      </c>
      <c r="I408" s="152" t="str">
        <f>+I$66</f>
        <v xml:space="preserve">                 sredstva za varstvo</v>
      </c>
      <c r="J408" s="165" t="str">
        <f>+J$66</f>
        <v>EUR/ha</v>
      </c>
      <c r="K408" s="171">
        <v>850.79497440000011</v>
      </c>
      <c r="L408" s="171">
        <v>871.90897439999992</v>
      </c>
      <c r="M408" s="172">
        <f t="shared" si="171"/>
        <v>102.48167897499512</v>
      </c>
      <c r="N408" s="8"/>
      <c r="O408" s="171">
        <v>871.90897439999992</v>
      </c>
      <c r="P408" s="171">
        <v>871.90897439999992</v>
      </c>
      <c r="Q408" s="171">
        <v>871.90897439999992</v>
      </c>
      <c r="R408" s="171">
        <v>871.90897439999992</v>
      </c>
      <c r="S408" s="171">
        <v>871.90897439999992</v>
      </c>
      <c r="T408" s="171">
        <v>871.90897439999992</v>
      </c>
      <c r="U408" s="1" t="e">
        <v>#N/A</v>
      </c>
      <c r="V408" s="1"/>
      <c r="W408" s="156">
        <f t="shared" si="168"/>
        <v>100</v>
      </c>
      <c r="X408" s="156">
        <f t="shared" si="166"/>
        <v>100</v>
      </c>
      <c r="Y408" s="156">
        <f t="shared" si="166"/>
        <v>100</v>
      </c>
      <c r="Z408" s="156">
        <f t="shared" si="166"/>
        <v>100</v>
      </c>
      <c r="AA408" s="156">
        <f t="shared" si="166"/>
        <v>100</v>
      </c>
      <c r="AB408" s="156">
        <f t="shared" si="166"/>
        <v>100</v>
      </c>
      <c r="AC408" s="4"/>
      <c r="AD408" s="4"/>
      <c r="AE408" s="4"/>
      <c r="AF408" s="4"/>
      <c r="AG408" s="4"/>
      <c r="AH408" s="4"/>
      <c r="AI408" s="4"/>
      <c r="AJ408" s="4"/>
      <c r="AK408" s="4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Y408" s="38"/>
      <c r="AZ408" s="38"/>
      <c r="BC408" s="1"/>
      <c r="BD408" s="1"/>
      <c r="BE408" s="47"/>
      <c r="BF408" s="47"/>
      <c r="BG408" s="91"/>
      <c r="BH408" s="42"/>
      <c r="BI408" s="7"/>
      <c r="BJ408" s="39"/>
      <c r="BK408" s="47"/>
      <c r="BL408" s="47"/>
      <c r="BM408" s="47"/>
      <c r="BN408" s="47"/>
      <c r="BO408" s="47"/>
      <c r="BP408" s="47"/>
    </row>
    <row r="409" spans="1:68" s="5" customFormat="1" ht="11.25" customHeight="1" x14ac:dyDescent="0.2">
      <c r="A409" s="25" t="s">
        <v>15</v>
      </c>
      <c r="B409" s="25" t="s">
        <v>14</v>
      </c>
      <c r="C409" s="25" t="s">
        <v>13</v>
      </c>
      <c r="D409" s="25"/>
      <c r="H409" s="136" t="str">
        <f t="shared" si="169"/>
        <v>Grozdje-terase primorska</v>
      </c>
      <c r="I409" s="152" t="str">
        <f>+I$67</f>
        <v xml:space="preserve">                 najete storitve</v>
      </c>
      <c r="J409" s="165" t="str">
        <f>+J$67</f>
        <v>EUR/ha</v>
      </c>
      <c r="K409" s="171">
        <v>931.27961440086426</v>
      </c>
      <c r="L409" s="171">
        <v>1014.1123904972903</v>
      </c>
      <c r="M409" s="172">
        <f t="shared" si="171"/>
        <v>108.89451189691468</v>
      </c>
      <c r="N409" s="8"/>
      <c r="O409" s="171">
        <v>1214.8892094141111</v>
      </c>
      <c r="P409" s="171">
        <v>1081.0379968028972</v>
      </c>
      <c r="Q409" s="171">
        <v>1014.1123904972903</v>
      </c>
      <c r="R409" s="171">
        <v>947.18678419168327</v>
      </c>
      <c r="S409" s="171">
        <v>1065.5851322156436</v>
      </c>
      <c r="T409" s="171">
        <v>962.63964877893682</v>
      </c>
      <c r="U409" s="1" t="e">
        <v>#N/A</v>
      </c>
      <c r="V409" s="1"/>
      <c r="W409" s="156">
        <f t="shared" si="168"/>
        <v>119.79828082155331</v>
      </c>
      <c r="X409" s="156">
        <f t="shared" si="166"/>
        <v>106.59942694051776</v>
      </c>
      <c r="Y409" s="156">
        <f t="shared" si="166"/>
        <v>100</v>
      </c>
      <c r="Z409" s="156">
        <f t="shared" si="166"/>
        <v>93.400573059482213</v>
      </c>
      <c r="AA409" s="156">
        <f t="shared" si="166"/>
        <v>105.07564469191747</v>
      </c>
      <c r="AB409" s="156">
        <f t="shared" si="166"/>
        <v>94.924355308082482</v>
      </c>
      <c r="AC409" s="4"/>
      <c r="AD409" s="4"/>
      <c r="AE409" s="4"/>
      <c r="AF409" s="4"/>
      <c r="AG409" s="4"/>
      <c r="AH409" s="4"/>
      <c r="AI409" s="4"/>
      <c r="AJ409" s="4"/>
      <c r="AK409" s="4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Y409" s="38"/>
      <c r="AZ409" s="38"/>
      <c r="BC409" s="1"/>
      <c r="BD409" s="1"/>
      <c r="BE409" s="47"/>
      <c r="BF409" s="47"/>
      <c r="BG409" s="91"/>
      <c r="BH409" s="42"/>
      <c r="BI409" s="7"/>
      <c r="BJ409" s="39"/>
      <c r="BK409" s="47"/>
      <c r="BL409" s="47"/>
      <c r="BM409" s="47"/>
      <c r="BN409" s="47"/>
      <c r="BO409" s="47"/>
      <c r="BP409" s="47"/>
    </row>
    <row r="410" spans="1:68" s="5" customFormat="1" ht="11.25" customHeight="1" x14ac:dyDescent="0.2">
      <c r="A410" s="25" t="s">
        <v>12</v>
      </c>
      <c r="B410" s="120" t="s">
        <v>147</v>
      </c>
      <c r="C410" s="25"/>
      <c r="D410" s="25"/>
      <c r="H410" s="136" t="str">
        <f t="shared" si="169"/>
        <v>Grozdje-terase primorska</v>
      </c>
      <c r="I410" s="152" t="str">
        <f>+I$68</f>
        <v xml:space="preserve">                 zavarovanje</v>
      </c>
      <c r="J410" s="165" t="str">
        <f>+J$68</f>
        <v>EUR/ha</v>
      </c>
      <c r="K410" s="171">
        <v>369.64398631147543</v>
      </c>
      <c r="L410" s="171">
        <v>332.7199863114754</v>
      </c>
      <c r="M410" s="172">
        <f t="shared" si="171"/>
        <v>90.010929064895834</v>
      </c>
      <c r="N410" s="8"/>
      <c r="O410" s="171">
        <v>332.7199863114754</v>
      </c>
      <c r="P410" s="171">
        <v>332.7199863114754</v>
      </c>
      <c r="Q410" s="171">
        <v>332.7199863114754</v>
      </c>
      <c r="R410" s="171">
        <v>329.95720231147538</v>
      </c>
      <c r="S410" s="171">
        <v>332.7199863114754</v>
      </c>
      <c r="T410" s="171">
        <v>332.7199863114754</v>
      </c>
      <c r="U410" s="1" t="e">
        <v>#N/A</v>
      </c>
      <c r="V410" s="1"/>
      <c r="W410" s="156">
        <f t="shared" si="168"/>
        <v>100</v>
      </c>
      <c r="X410" s="156">
        <f t="shared" si="166"/>
        <v>100</v>
      </c>
      <c r="Y410" s="156">
        <f t="shared" si="166"/>
        <v>100</v>
      </c>
      <c r="Z410" s="156">
        <f t="shared" si="166"/>
        <v>99.1696368977926</v>
      </c>
      <c r="AA410" s="156">
        <f t="shared" si="166"/>
        <v>100</v>
      </c>
      <c r="AB410" s="156">
        <f t="shared" si="166"/>
        <v>100</v>
      </c>
      <c r="AC410" s="4"/>
      <c r="AD410" s="4"/>
      <c r="AE410" s="4"/>
      <c r="AF410" s="4"/>
      <c r="AG410" s="4"/>
      <c r="AH410" s="4"/>
      <c r="AI410" s="4"/>
      <c r="AJ410" s="4"/>
      <c r="AK410" s="4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Y410" s="38"/>
      <c r="AZ410" s="38"/>
      <c r="BC410" s="1"/>
      <c r="BD410" s="1"/>
      <c r="BE410" s="47"/>
      <c r="BF410" s="47"/>
      <c r="BG410" s="91"/>
      <c r="BH410" s="42"/>
      <c r="BI410" s="7"/>
      <c r="BJ410" s="39"/>
      <c r="BK410" s="47"/>
      <c r="BL410" s="47"/>
      <c r="BM410" s="47"/>
      <c r="BN410" s="47"/>
      <c r="BO410" s="47"/>
      <c r="BP410" s="47"/>
    </row>
    <row r="411" spans="1:68" s="5" customFormat="1" ht="11.25" customHeight="1" x14ac:dyDescent="0.2">
      <c r="A411" s="25" t="s">
        <v>11</v>
      </c>
      <c r="B411" s="25"/>
      <c r="C411" s="25"/>
      <c r="D411" s="25"/>
      <c r="H411" s="136" t="str">
        <f t="shared" si="169"/>
        <v>Grozdje-terase primorska</v>
      </c>
      <c r="I411" s="152" t="str">
        <f>+I$69</f>
        <v xml:space="preserve">                 domače strojne storitve</v>
      </c>
      <c r="J411" s="165" t="str">
        <f>+J$69</f>
        <v>EUR/ha</v>
      </c>
      <c r="K411" s="171">
        <v>1007.9062711330652</v>
      </c>
      <c r="L411" s="171">
        <v>1131.2334276576103</v>
      </c>
      <c r="M411" s="172">
        <f t="shared" si="171"/>
        <v>112.23597471875073</v>
      </c>
      <c r="N411" s="8"/>
      <c r="O411" s="171">
        <v>1196.8753966743752</v>
      </c>
      <c r="P411" s="171">
        <v>1154.2789626610847</v>
      </c>
      <c r="Q411" s="171">
        <v>1131.2334276576103</v>
      </c>
      <c r="R411" s="171">
        <v>1109.656989836096</v>
      </c>
      <c r="S411" s="171">
        <v>1131.2334276576103</v>
      </c>
      <c r="T411" s="171">
        <v>1131.2334276576103</v>
      </c>
      <c r="U411" s="1" t="e">
        <v>#N/A</v>
      </c>
      <c r="V411" s="1"/>
      <c r="W411" s="156">
        <f t="shared" si="168"/>
        <v>105.80269000295426</v>
      </c>
      <c r="X411" s="156">
        <f t="shared" si="166"/>
        <v>102.03720420914308</v>
      </c>
      <c r="Y411" s="156">
        <f t="shared" si="166"/>
        <v>100</v>
      </c>
      <c r="Z411" s="156">
        <f t="shared" si="166"/>
        <v>98.092662637613927</v>
      </c>
      <c r="AA411" s="156">
        <f t="shared" si="166"/>
        <v>100</v>
      </c>
      <c r="AB411" s="156">
        <f t="shared" si="166"/>
        <v>100</v>
      </c>
      <c r="AC411" s="4"/>
      <c r="AD411" s="4"/>
      <c r="AE411" s="4"/>
      <c r="AF411" s="4"/>
      <c r="AG411" s="4"/>
      <c r="AH411" s="4"/>
      <c r="AI411" s="4"/>
      <c r="AJ411" s="4"/>
      <c r="AK411" s="4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Y411" s="38"/>
      <c r="AZ411" s="38"/>
      <c r="BC411" s="1"/>
      <c r="BD411" s="1"/>
      <c r="BE411" s="47"/>
      <c r="BF411" s="47"/>
      <c r="BG411" s="91"/>
      <c r="BH411" s="42"/>
      <c r="BI411" s="7"/>
      <c r="BJ411" s="39"/>
      <c r="BK411" s="47"/>
      <c r="BL411" s="47"/>
      <c r="BM411" s="47"/>
      <c r="BN411" s="47"/>
      <c r="BO411" s="47"/>
      <c r="BP411" s="47"/>
    </row>
    <row r="412" spans="1:68" s="5" customFormat="1" ht="11.25" customHeight="1" x14ac:dyDescent="0.2">
      <c r="A412" s="25" t="s">
        <v>10</v>
      </c>
      <c r="B412" s="25"/>
      <c r="C412" s="25"/>
      <c r="D412" s="25"/>
      <c r="H412" s="136" t="str">
        <f t="shared" si="169"/>
        <v>Grozdje-terase primorska</v>
      </c>
      <c r="I412" s="152" t="str">
        <f>+I$70</f>
        <v>Amortizacija</v>
      </c>
      <c r="J412" s="165" t="str">
        <f>+J$70</f>
        <v>EUR/ha</v>
      </c>
      <c r="K412" s="171">
        <v>1112.4174863387977</v>
      </c>
      <c r="L412" s="171">
        <v>1175.0541530054645</v>
      </c>
      <c r="M412" s="172">
        <f t="shared" si="171"/>
        <v>105.63067979745782</v>
      </c>
      <c r="N412" s="8"/>
      <c r="O412" s="171">
        <v>1175.0541530054645</v>
      </c>
      <c r="P412" s="171">
        <v>1175.0541530054645</v>
      </c>
      <c r="Q412" s="171">
        <v>1175.0541530054645</v>
      </c>
      <c r="R412" s="171">
        <v>1175.0541530054645</v>
      </c>
      <c r="S412" s="171">
        <v>1225.260819672131</v>
      </c>
      <c r="T412" s="171">
        <v>1124.8474863387978</v>
      </c>
      <c r="U412" s="1" t="e">
        <v>#N/A</v>
      </c>
      <c r="V412" s="1"/>
      <c r="W412" s="156">
        <f t="shared" si="168"/>
        <v>100</v>
      </c>
      <c r="X412" s="156">
        <f t="shared" si="166"/>
        <v>100</v>
      </c>
      <c r="Y412" s="156">
        <f t="shared" si="166"/>
        <v>100</v>
      </c>
      <c r="Z412" s="156">
        <f t="shared" si="166"/>
        <v>100</v>
      </c>
      <c r="AA412" s="156">
        <f t="shared" si="166"/>
        <v>104.27271088215394</v>
      </c>
      <c r="AB412" s="156">
        <f t="shared" si="166"/>
        <v>95.727289117846027</v>
      </c>
      <c r="AC412" s="4"/>
      <c r="AD412" s="4"/>
      <c r="AE412" s="4"/>
      <c r="AF412" s="4"/>
      <c r="AG412" s="4"/>
      <c r="AH412" s="4"/>
      <c r="AI412" s="4"/>
      <c r="AJ412" s="4"/>
      <c r="AK412" s="4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Y412" s="38"/>
      <c r="AZ412" s="38"/>
      <c r="BC412" s="1"/>
      <c r="BD412" s="1"/>
      <c r="BE412" s="47"/>
      <c r="BF412" s="47"/>
      <c r="BG412" s="91"/>
      <c r="BH412" s="42"/>
      <c r="BI412" s="7"/>
      <c r="BJ412" s="39"/>
      <c r="BK412" s="47"/>
      <c r="BL412" s="47"/>
      <c r="BM412" s="47"/>
      <c r="BN412" s="47"/>
      <c r="BO412" s="47"/>
      <c r="BP412" s="47"/>
    </row>
    <row r="413" spans="1:68" s="5" customFormat="1" ht="11.25" customHeight="1" x14ac:dyDescent="0.2">
      <c r="A413" s="54" t="s">
        <v>7</v>
      </c>
      <c r="B413" s="54" t="s">
        <v>9</v>
      </c>
      <c r="C413" s="54" t="s">
        <v>8</v>
      </c>
      <c r="D413" s="54"/>
      <c r="H413" s="136" t="str">
        <f t="shared" si="169"/>
        <v>Grozdje-terase primorska</v>
      </c>
      <c r="I413" s="151" t="str">
        <f>+I$71</f>
        <v>Stroški domačega dela in kapitala</v>
      </c>
      <c r="J413" s="168" t="str">
        <f>+J$71</f>
        <v>EUR/ha</v>
      </c>
      <c r="K413" s="169">
        <v>2908.7044131784551</v>
      </c>
      <c r="L413" s="169">
        <v>3066.8669448012006</v>
      </c>
      <c r="M413" s="170">
        <f t="shared" si="171"/>
        <v>105.43755944764132</v>
      </c>
      <c r="N413" s="8"/>
      <c r="O413" s="169">
        <v>3196.9326469001312</v>
      </c>
      <c r="P413" s="169">
        <v>3111.167110543116</v>
      </c>
      <c r="Q413" s="169">
        <v>3066.8669448012006</v>
      </c>
      <c r="R413" s="169">
        <v>3023.6330586713148</v>
      </c>
      <c r="S413" s="169">
        <v>3276.2336386841916</v>
      </c>
      <c r="T413" s="169">
        <v>2857.50025091821</v>
      </c>
      <c r="U413" s="1" t="e">
        <v>#N/A</v>
      </c>
      <c r="V413" s="9"/>
      <c r="W413" s="155">
        <f t="shared" si="168"/>
        <v>104.24099592319816</v>
      </c>
      <c r="X413" s="155">
        <f t="shared" si="166"/>
        <v>101.44447628603552</v>
      </c>
      <c r="Y413" s="155">
        <f t="shared" si="166"/>
        <v>100</v>
      </c>
      <c r="Z413" s="155">
        <f t="shared" si="166"/>
        <v>98.590291430700191</v>
      </c>
      <c r="AA413" s="155">
        <f t="shared" si="166"/>
        <v>106.8267289599211</v>
      </c>
      <c r="AB413" s="155">
        <f t="shared" si="166"/>
        <v>93.173271040078902</v>
      </c>
      <c r="AC413" s="8"/>
      <c r="AD413" s="8"/>
      <c r="AE413" s="8"/>
      <c r="AF413" s="8"/>
      <c r="AG413" s="8"/>
      <c r="AH413" s="8"/>
      <c r="AI413" s="8"/>
      <c r="AJ413" s="8"/>
      <c r="AK413" s="8"/>
      <c r="AL413" s="1"/>
      <c r="AM413" s="9"/>
      <c r="AN413" s="1"/>
      <c r="AO413" s="1"/>
      <c r="AP413" s="1"/>
      <c r="AQ413" s="1"/>
      <c r="AR413" s="1"/>
      <c r="AS413" s="1"/>
      <c r="AT413" s="1"/>
      <c r="AU413" s="1"/>
      <c r="AY413" s="38"/>
      <c r="AZ413" s="38"/>
      <c r="BC413" s="9"/>
      <c r="BD413" s="9"/>
      <c r="BE413" s="53"/>
      <c r="BF413" s="53"/>
      <c r="BG413" s="91"/>
      <c r="BH413" s="44"/>
      <c r="BI413" s="6"/>
      <c r="BJ413" s="43"/>
      <c r="BK413" s="53"/>
      <c r="BL413" s="53"/>
      <c r="BM413" s="53"/>
      <c r="BN413" s="53"/>
      <c r="BO413" s="53"/>
      <c r="BP413" s="53"/>
    </row>
    <row r="414" spans="1:68" s="5" customFormat="1" ht="11.25" customHeight="1" x14ac:dyDescent="0.2">
      <c r="A414" s="25" t="s">
        <v>7</v>
      </c>
      <c r="B414" s="25"/>
      <c r="C414" s="25"/>
      <c r="D414" s="25"/>
      <c r="H414" s="136" t="str">
        <f t="shared" si="169"/>
        <v>Grozdje-terase primorska</v>
      </c>
      <c r="I414" s="152" t="str">
        <f>+I$72</f>
        <v xml:space="preserve">  Od tega: domače delo neto</v>
      </c>
      <c r="J414" s="165" t="str">
        <f>+J$72</f>
        <v>EUR/ha</v>
      </c>
      <c r="K414" s="171">
        <v>1283.5357927878151</v>
      </c>
      <c r="L414" s="171">
        <v>1349.0055165501687</v>
      </c>
      <c r="M414" s="172">
        <f t="shared" si="171"/>
        <v>105.10073222190046</v>
      </c>
      <c r="N414" s="8"/>
      <c r="O414" s="171">
        <v>1418.1196085061556</v>
      </c>
      <c r="P414" s="171">
        <v>1372.49283436003</v>
      </c>
      <c r="Q414" s="171">
        <v>1349.0055165501687</v>
      </c>
      <c r="R414" s="171">
        <v>1326.0802398453434</v>
      </c>
      <c r="S414" s="171">
        <v>1452.6345060577876</v>
      </c>
      <c r="T414" s="171">
        <v>1245.3765270425497</v>
      </c>
      <c r="U414" s="1" t="e">
        <v>#N/A</v>
      </c>
      <c r="V414" s="1"/>
      <c r="W414" s="156">
        <f t="shared" si="168"/>
        <v>105.12333649551955</v>
      </c>
      <c r="X414" s="156">
        <f t="shared" si="166"/>
        <v>101.74108389637469</v>
      </c>
      <c r="Y414" s="156">
        <f t="shared" si="166"/>
        <v>100</v>
      </c>
      <c r="Z414" s="156">
        <f t="shared" si="166"/>
        <v>98.300579469574558</v>
      </c>
      <c r="AA414" s="156">
        <f t="shared" si="166"/>
        <v>107.68188033601453</v>
      </c>
      <c r="AB414" s="156">
        <f t="shared" si="166"/>
        <v>92.318119663985442</v>
      </c>
      <c r="AC414" s="4"/>
      <c r="AD414" s="4"/>
      <c r="AE414" s="4"/>
      <c r="AF414" s="4"/>
      <c r="AG414" s="4"/>
      <c r="AH414" s="4"/>
      <c r="AI414" s="4"/>
      <c r="AJ414" s="4"/>
      <c r="AK414" s="4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Y414" s="38"/>
      <c r="AZ414" s="38"/>
      <c r="BC414" s="1"/>
      <c r="BD414" s="1"/>
      <c r="BE414" s="47"/>
      <c r="BF414" s="47"/>
      <c r="BG414" s="91"/>
      <c r="BH414" s="42"/>
      <c r="BI414" s="7"/>
      <c r="BJ414" s="39"/>
      <c r="BK414" s="47"/>
      <c r="BL414" s="47"/>
      <c r="BM414" s="47"/>
      <c r="BN414" s="47"/>
      <c r="BO414" s="47"/>
      <c r="BP414" s="47"/>
    </row>
    <row r="415" spans="1:68" s="5" customFormat="1" ht="11.25" customHeight="1" x14ac:dyDescent="0.25">
      <c r="A415" s="54" t="s">
        <v>6</v>
      </c>
      <c r="B415" s="54"/>
      <c r="C415" s="54"/>
      <c r="D415" s="54"/>
      <c r="H415" s="136" t="str">
        <f t="shared" si="169"/>
        <v>Grozdje-terase primorska</v>
      </c>
      <c r="I415" s="151" t="str">
        <f>+I$73</f>
        <v>Stroški skupaj</v>
      </c>
      <c r="J415" s="168" t="str">
        <f>+J$73</f>
        <v>EUR/ha</v>
      </c>
      <c r="K415" s="169">
        <v>7608.8059935359688</v>
      </c>
      <c r="L415" s="169">
        <v>8040.28249510552</v>
      </c>
      <c r="M415" s="170">
        <f t="shared" si="171"/>
        <v>105.67075178334302</v>
      </c>
      <c r="N415" s="8"/>
      <c r="O415" s="169">
        <v>8480.4752530862552</v>
      </c>
      <c r="P415" s="169">
        <v>8194.8690139247192</v>
      </c>
      <c r="Q415" s="169">
        <v>8040.28249510552</v>
      </c>
      <c r="R415" s="169">
        <v>7882.7952874510702</v>
      </c>
      <c r="S415" s="169">
        <v>8357.819971712137</v>
      </c>
      <c r="T415" s="169">
        <v>7722.7450184989002</v>
      </c>
      <c r="U415" s="1" t="e">
        <v>#N/A</v>
      </c>
      <c r="V415" s="9"/>
      <c r="W415" s="155">
        <f t="shared" si="168"/>
        <v>105.47484193806251</v>
      </c>
      <c r="X415" s="155">
        <f t="shared" si="166"/>
        <v>101.92265034112052</v>
      </c>
      <c r="Y415" s="155">
        <f t="shared" si="166"/>
        <v>100</v>
      </c>
      <c r="Z415" s="155">
        <f t="shared" si="166"/>
        <v>98.041272707142824</v>
      </c>
      <c r="AA415" s="155">
        <f t="shared" si="166"/>
        <v>103.94933233751323</v>
      </c>
      <c r="AB415" s="155">
        <f t="shared" si="166"/>
        <v>96.050667662486745</v>
      </c>
      <c r="AC415" s="8"/>
      <c r="AD415" s="8"/>
      <c r="AE415" s="339" t="s">
        <v>233</v>
      </c>
      <c r="AF415" s="340"/>
      <c r="AG415" s="340"/>
      <c r="AH415" s="340"/>
      <c r="AI415" s="340"/>
      <c r="AJ415" s="340"/>
      <c r="AK415" s="340"/>
      <c r="AL415" s="340"/>
      <c r="AM415" s="340"/>
      <c r="AN415" s="1"/>
      <c r="AO415" s="1"/>
      <c r="AP415" s="1"/>
      <c r="AQ415" s="1"/>
      <c r="AR415" s="1"/>
      <c r="AS415" s="1"/>
      <c r="AT415" s="1"/>
      <c r="AU415" s="1"/>
      <c r="AY415" s="38"/>
      <c r="AZ415" s="38"/>
      <c r="BC415" s="9"/>
      <c r="BD415" s="9"/>
      <c r="BE415" s="53"/>
      <c r="BF415" s="53"/>
      <c r="BG415" s="91"/>
      <c r="BH415" s="44"/>
      <c r="BI415" s="6"/>
      <c r="BJ415" s="43"/>
      <c r="BK415" s="53"/>
      <c r="BL415" s="53"/>
      <c r="BM415" s="53"/>
      <c r="BN415" s="53"/>
      <c r="BO415" s="53"/>
      <c r="BP415" s="53"/>
    </row>
    <row r="416" spans="1:68" s="5" customFormat="1" ht="11.25" customHeight="1" x14ac:dyDescent="0.25">
      <c r="A416" s="25" t="s">
        <v>5</v>
      </c>
      <c r="B416" s="25"/>
      <c r="C416" s="25"/>
      <c r="D416" s="25"/>
      <c r="H416" s="136" t="str">
        <f t="shared" si="169"/>
        <v>Grozdje-terase primorska</v>
      </c>
      <c r="I416" s="152" t="str">
        <f>+I$74</f>
        <v>Stranski pridelki</v>
      </c>
      <c r="J416" s="165" t="str">
        <f>+J$74</f>
        <v>EUR/ha</v>
      </c>
      <c r="K416" s="171">
        <v>0</v>
      </c>
      <c r="L416" s="171">
        <v>0</v>
      </c>
      <c r="M416" s="172"/>
      <c r="N416" s="8"/>
      <c r="O416" s="171">
        <v>0</v>
      </c>
      <c r="P416" s="171">
        <v>0</v>
      </c>
      <c r="Q416" s="171">
        <v>0</v>
      </c>
      <c r="R416" s="171">
        <v>0</v>
      </c>
      <c r="S416" s="171">
        <v>0</v>
      </c>
      <c r="T416" s="171">
        <v>0</v>
      </c>
      <c r="U416" s="1" t="e">
        <v>#N/A</v>
      </c>
      <c r="V416" s="1"/>
      <c r="W416" s="156"/>
      <c r="X416" s="156"/>
      <c r="Y416" s="156"/>
      <c r="Z416" s="156"/>
      <c r="AA416" s="156"/>
      <c r="AB416" s="156"/>
      <c r="AC416" s="4"/>
      <c r="AD416" s="4"/>
      <c r="AE416" s="192" t="str">
        <f>AF$10&amp;""&amp;$L$56&amp;", upoštevani stroški zmanjšani za subvencije"</f>
        <v>prva ocena letine 2021, upoštevani stroški zmanjšani za subvencije</v>
      </c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Y416" s="38"/>
      <c r="AZ416" s="38"/>
      <c r="BC416" s="1"/>
      <c r="BD416" s="1"/>
      <c r="BE416" s="47"/>
      <c r="BF416" s="47"/>
      <c r="BG416" s="91"/>
      <c r="BH416" s="42"/>
      <c r="BI416" s="7"/>
      <c r="BJ416" s="39"/>
      <c r="BK416" s="47"/>
      <c r="BL416" s="47"/>
      <c r="BM416" s="47"/>
      <c r="BN416" s="47"/>
      <c r="BO416" s="47"/>
      <c r="BP416" s="47"/>
    </row>
    <row r="417" spans="1:68" s="5" customFormat="1" ht="11.25" customHeight="1" x14ac:dyDescent="0.2">
      <c r="A417" s="25"/>
      <c r="B417" s="25"/>
      <c r="C417" s="25"/>
      <c r="D417" s="25"/>
      <c r="H417" s="136" t="str">
        <f t="shared" si="169"/>
        <v>Grozdje-terase primorska</v>
      </c>
      <c r="I417" s="152" t="str">
        <f>+I$75</f>
        <v>Stroški glavnega pridelka</v>
      </c>
      <c r="J417" s="165" t="str">
        <f>+J$75</f>
        <v>EUR/ha</v>
      </c>
      <c r="K417" s="171">
        <f>+K415-K416</f>
        <v>7608.8059935359688</v>
      </c>
      <c r="L417" s="171">
        <f>+L415-L416</f>
        <v>8040.28249510552</v>
      </c>
      <c r="M417" s="172">
        <f t="shared" ref="M417:M422" si="172">L417/K417*100</f>
        <v>105.67075178334302</v>
      </c>
      <c r="N417" s="8"/>
      <c r="O417" s="171">
        <f t="shared" ref="O417:U417" si="173">+O415-O416</f>
        <v>8480.4752530862552</v>
      </c>
      <c r="P417" s="171">
        <f t="shared" si="173"/>
        <v>8194.8690139247192</v>
      </c>
      <c r="Q417" s="171">
        <f t="shared" si="173"/>
        <v>8040.28249510552</v>
      </c>
      <c r="R417" s="171">
        <f t="shared" si="173"/>
        <v>7882.7952874510702</v>
      </c>
      <c r="S417" s="171">
        <f t="shared" si="173"/>
        <v>8357.819971712137</v>
      </c>
      <c r="T417" s="171">
        <f t="shared" si="173"/>
        <v>7722.7450184989002</v>
      </c>
      <c r="U417" s="1" t="e">
        <f t="shared" si="173"/>
        <v>#N/A</v>
      </c>
      <c r="V417" s="1"/>
      <c r="W417" s="156">
        <f t="shared" si="168"/>
        <v>105.47484193806251</v>
      </c>
      <c r="X417" s="156">
        <f t="shared" si="168"/>
        <v>101.92265034112052</v>
      </c>
      <c r="Y417" s="156">
        <f t="shared" si="168"/>
        <v>100</v>
      </c>
      <c r="Z417" s="156">
        <f t="shared" si="168"/>
        <v>98.041272707142824</v>
      </c>
      <c r="AA417" s="156">
        <f t="shared" si="168"/>
        <v>103.94933233751323</v>
      </c>
      <c r="AB417" s="156">
        <f t="shared" si="168"/>
        <v>96.050667662486745</v>
      </c>
      <c r="AC417" s="4"/>
      <c r="AD417" s="4"/>
      <c r="AE417" s="4"/>
      <c r="AF417" s="4"/>
      <c r="AG417" s="4"/>
      <c r="AH417" s="4"/>
      <c r="AI417" s="4"/>
      <c r="AJ417" s="4"/>
      <c r="AK417" s="4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Y417" s="38"/>
      <c r="AZ417" s="38"/>
      <c r="BC417" s="1"/>
      <c r="BD417" s="1"/>
      <c r="BE417" s="52"/>
      <c r="BF417" s="52"/>
      <c r="BG417" s="91"/>
      <c r="BH417" s="52"/>
      <c r="BI417" s="17"/>
      <c r="BJ417" s="52"/>
      <c r="BK417" s="52"/>
      <c r="BL417" s="52"/>
      <c r="BM417" s="52"/>
      <c r="BN417" s="52"/>
      <c r="BO417" s="52"/>
      <c r="BP417" s="52"/>
    </row>
    <row r="418" spans="1:68" s="5" customFormat="1" ht="11.25" customHeight="1" x14ac:dyDescent="0.2">
      <c r="A418" s="25" t="s">
        <v>4</v>
      </c>
      <c r="B418" s="25" t="s">
        <v>3</v>
      </c>
      <c r="C418" s="21" t="s">
        <v>2</v>
      </c>
      <c r="D418" s="21" t="s">
        <v>1</v>
      </c>
      <c r="H418" s="136" t="str">
        <f t="shared" si="169"/>
        <v>Grozdje-terase primorska</v>
      </c>
      <c r="I418" s="152" t="str">
        <f>+I$76</f>
        <v>Subvencije</v>
      </c>
      <c r="J418" s="165" t="str">
        <f>+J$76</f>
        <v>EUR/ha</v>
      </c>
      <c r="K418" s="171">
        <v>237.81086095351657</v>
      </c>
      <c r="L418" s="171">
        <v>234.79053256901159</v>
      </c>
      <c r="M418" s="172">
        <f t="shared" si="172"/>
        <v>98.729945145316407</v>
      </c>
      <c r="N418" s="8"/>
      <c r="O418" s="171">
        <v>240.53529768199709</v>
      </c>
      <c r="P418" s="171">
        <v>236.80799480403348</v>
      </c>
      <c r="Q418" s="171">
        <v>234.79053256901159</v>
      </c>
      <c r="R418" s="171">
        <v>232.90134462844244</v>
      </c>
      <c r="S418" s="171">
        <v>234.79053256901159</v>
      </c>
      <c r="T418" s="171">
        <v>234.79053256901159</v>
      </c>
      <c r="U418" s="1" t="e">
        <v>#N/A</v>
      </c>
      <c r="V418" s="1"/>
      <c r="W418" s="156">
        <f t="shared" si="168"/>
        <v>102.44676182217738</v>
      </c>
      <c r="X418" s="156">
        <f t="shared" si="168"/>
        <v>100.85926047057666</v>
      </c>
      <c r="Y418" s="156">
        <f t="shared" si="168"/>
        <v>100</v>
      </c>
      <c r="Z418" s="156">
        <f t="shared" si="168"/>
        <v>99.195373033189128</v>
      </c>
      <c r="AA418" s="156">
        <f t="shared" si="168"/>
        <v>100</v>
      </c>
      <c r="AB418" s="156">
        <f t="shared" si="168"/>
        <v>100</v>
      </c>
      <c r="AC418" s="4"/>
      <c r="AD418" s="4"/>
      <c r="AE418" s="4"/>
      <c r="AF418" s="4"/>
      <c r="AG418" s="4"/>
      <c r="AH418" s="4"/>
      <c r="AI418" s="4"/>
      <c r="AJ418" s="4"/>
      <c r="AK418" s="4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Y418" s="38"/>
      <c r="AZ418" s="38"/>
      <c r="BC418" s="1"/>
      <c r="BD418" s="1"/>
      <c r="BE418" s="47"/>
      <c r="BF418" s="47"/>
      <c r="BG418" s="91"/>
      <c r="BH418" s="42"/>
      <c r="BI418" s="6"/>
      <c r="BJ418" s="39"/>
      <c r="BK418" s="47"/>
      <c r="BL418" s="47"/>
      <c r="BM418" s="47"/>
      <c r="BN418" s="47"/>
      <c r="BO418" s="47"/>
      <c r="BP418" s="47"/>
    </row>
    <row r="419" spans="1:68" s="5" customFormat="1" ht="11.25" customHeight="1" x14ac:dyDescent="0.2">
      <c r="A419" s="25"/>
      <c r="B419" s="25"/>
      <c r="C419" s="25"/>
      <c r="D419" s="25"/>
      <c r="H419" s="136" t="str">
        <f t="shared" si="169"/>
        <v>Grozdje-terase primorska</v>
      </c>
      <c r="I419" s="151" t="str">
        <f>+I$77</f>
        <v>Stroški, zmanjšani za subvencije</v>
      </c>
      <c r="J419" s="168" t="str">
        <f>+J$77</f>
        <v>EUR/ha</v>
      </c>
      <c r="K419" s="169">
        <f>+K417-K418</f>
        <v>7370.9951325824522</v>
      </c>
      <c r="L419" s="169">
        <f>+L417-L418</f>
        <v>7805.4919625365083</v>
      </c>
      <c r="M419" s="170">
        <f t="shared" si="172"/>
        <v>105.89468344692597</v>
      </c>
      <c r="N419" s="8"/>
      <c r="O419" s="169">
        <f t="shared" ref="O419:U419" si="174">+O417-O418</f>
        <v>8239.9399554042575</v>
      </c>
      <c r="P419" s="169">
        <f t="shared" si="174"/>
        <v>7958.0610191206861</v>
      </c>
      <c r="Q419" s="169">
        <f t="shared" si="174"/>
        <v>7805.4919625365083</v>
      </c>
      <c r="R419" s="169">
        <f t="shared" si="174"/>
        <v>7649.8939428226277</v>
      </c>
      <c r="S419" s="169">
        <f t="shared" si="174"/>
        <v>8123.0294391431253</v>
      </c>
      <c r="T419" s="169">
        <f t="shared" si="174"/>
        <v>7487.9544859298885</v>
      </c>
      <c r="U419" s="9" t="e">
        <f t="shared" si="174"/>
        <v>#N/A</v>
      </c>
      <c r="V419" s="9"/>
      <c r="W419" s="155">
        <f t="shared" si="168"/>
        <v>105.5659271055936</v>
      </c>
      <c r="X419" s="155">
        <f t="shared" si="168"/>
        <v>101.95463729021121</v>
      </c>
      <c r="Y419" s="155">
        <f t="shared" si="168"/>
        <v>100</v>
      </c>
      <c r="Z419" s="155">
        <f t="shared" si="168"/>
        <v>98.006557172043813</v>
      </c>
      <c r="AA419" s="155">
        <f t="shared" si="168"/>
        <v>104.06812892935744</v>
      </c>
      <c r="AB419" s="155">
        <f t="shared" si="168"/>
        <v>95.931871070642529</v>
      </c>
      <c r="AC419" s="4"/>
      <c r="AD419" s="4"/>
      <c r="AE419" s="4"/>
      <c r="AF419" s="4"/>
      <c r="AG419" s="4"/>
      <c r="AH419" s="4"/>
      <c r="AI419" s="4"/>
      <c r="AJ419" s="4"/>
      <c r="AK419" s="4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Y419" s="38"/>
      <c r="AZ419" s="38"/>
      <c r="BC419" s="1"/>
      <c r="BD419" s="1"/>
      <c r="BE419" s="43"/>
      <c r="BF419" s="43"/>
      <c r="BG419" s="91"/>
      <c r="BH419" s="44"/>
      <c r="BI419" s="8"/>
      <c r="BJ419" s="43"/>
      <c r="BK419" s="43"/>
      <c r="BL419" s="43"/>
      <c r="BM419" s="43"/>
      <c r="BN419" s="43"/>
      <c r="BO419" s="43"/>
      <c r="BP419" s="43"/>
    </row>
    <row r="420" spans="1:68" s="5" customFormat="1" ht="11.25" customHeight="1" x14ac:dyDescent="0.2">
      <c r="A420" s="51"/>
      <c r="B420" s="51"/>
      <c r="C420" s="51"/>
      <c r="D420" s="51"/>
      <c r="H420" s="136" t="str">
        <f t="shared" si="169"/>
        <v>Grozdje-terase primorska</v>
      </c>
      <c r="I420" s="153" t="str">
        <f>+I$78</f>
        <v>Stroški, zmanjšani za subvencije/kg</v>
      </c>
      <c r="J420" s="173" t="str">
        <f>+J$78</f>
        <v>EUR/kg</v>
      </c>
      <c r="K420" s="174">
        <f>+K419/K400</f>
        <v>0.81899945917582806</v>
      </c>
      <c r="L420" s="174">
        <f>+L419/L400</f>
        <v>0.86727688472627873</v>
      </c>
      <c r="M420" s="170">
        <f t="shared" si="172"/>
        <v>105.89468344692597</v>
      </c>
      <c r="N420" s="8"/>
      <c r="O420" s="174">
        <f t="shared" ref="O420:U420" si="175">+O419/O400</f>
        <v>0.6866616629503548</v>
      </c>
      <c r="P420" s="174">
        <f t="shared" si="175"/>
        <v>0.79580610191206858</v>
      </c>
      <c r="Q420" s="174">
        <f t="shared" si="175"/>
        <v>0.86727688472627873</v>
      </c>
      <c r="R420" s="174">
        <f t="shared" si="175"/>
        <v>0.95623674285282845</v>
      </c>
      <c r="S420" s="174">
        <f t="shared" si="175"/>
        <v>0.90255882657145836</v>
      </c>
      <c r="T420" s="174">
        <f t="shared" si="175"/>
        <v>0.83199494288109876</v>
      </c>
      <c r="U420" s="1" t="e">
        <f t="shared" si="175"/>
        <v>#N/A</v>
      </c>
      <c r="V420" s="16"/>
      <c r="W420" s="157">
        <f t="shared" si="168"/>
        <v>79.174445329195194</v>
      </c>
      <c r="X420" s="157">
        <f t="shared" si="168"/>
        <v>91.759173561190082</v>
      </c>
      <c r="Y420" s="157">
        <f t="shared" si="168"/>
        <v>100</v>
      </c>
      <c r="Z420" s="157">
        <f t="shared" si="168"/>
        <v>110.25737681854928</v>
      </c>
      <c r="AA420" s="157">
        <f t="shared" si="168"/>
        <v>104.06812892935744</v>
      </c>
      <c r="AB420" s="157">
        <f t="shared" si="168"/>
        <v>95.931871070642529</v>
      </c>
      <c r="AC420" s="4"/>
      <c r="AD420" s="4"/>
      <c r="AE420" s="4"/>
      <c r="AF420" s="4"/>
      <c r="AG420" s="4"/>
      <c r="AH420" s="4"/>
      <c r="AI420" s="4"/>
      <c r="AJ420" s="4"/>
      <c r="AK420" s="4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Y420" s="38"/>
      <c r="AZ420" s="38"/>
      <c r="BC420" s="16"/>
      <c r="BD420" s="16"/>
      <c r="BE420" s="49"/>
      <c r="BF420" s="49"/>
      <c r="BG420" s="91"/>
      <c r="BH420" s="50"/>
      <c r="BI420" s="14"/>
      <c r="BJ420" s="49"/>
      <c r="BK420" s="49"/>
      <c r="BL420" s="49"/>
      <c r="BM420" s="49"/>
      <c r="BN420" s="49"/>
      <c r="BO420" s="49"/>
      <c r="BP420" s="49"/>
    </row>
    <row r="421" spans="1:68" s="5" customFormat="1" ht="11.25" customHeight="1" x14ac:dyDescent="0.2">
      <c r="A421" s="51" t="s">
        <v>30</v>
      </c>
      <c r="B421" s="51"/>
      <c r="C421" s="51"/>
      <c r="D421" s="51"/>
      <c r="H421" s="136" t="str">
        <f t="shared" si="169"/>
        <v>Grozdje-terase primorska</v>
      </c>
      <c r="I421" s="16" t="str">
        <f>+I$79</f>
        <v>Prodajna cena</v>
      </c>
      <c r="J421" s="175" t="str">
        <f>+J$79</f>
        <v>EUR/kg</v>
      </c>
      <c r="K421" s="176">
        <v>0.50993983471074378</v>
      </c>
      <c r="L421" s="176">
        <v>0.57999999999999996</v>
      </c>
      <c r="M421" s="164">
        <f t="shared" si="172"/>
        <v>113.73890810648217</v>
      </c>
      <c r="N421" s="8"/>
      <c r="O421" s="216">
        <v>0.57999999999999996</v>
      </c>
      <c r="P421" s="216">
        <v>0.57999999999999996</v>
      </c>
      <c r="Q421" s="216">
        <v>0.57999999999999996</v>
      </c>
      <c r="R421" s="216">
        <v>0.57999999999999996</v>
      </c>
      <c r="S421" s="216">
        <v>0.57999999999999996</v>
      </c>
      <c r="T421" s="216">
        <v>0.57999999999999996</v>
      </c>
      <c r="U421" s="1" t="e">
        <v>#N/A</v>
      </c>
      <c r="V421" s="16"/>
      <c r="W421" s="73">
        <f t="shared" si="168"/>
        <v>100</v>
      </c>
      <c r="X421" s="73">
        <f t="shared" si="168"/>
        <v>100</v>
      </c>
      <c r="Y421" s="73">
        <f t="shared" si="168"/>
        <v>100</v>
      </c>
      <c r="Z421" s="73">
        <f t="shared" si="168"/>
        <v>100</v>
      </c>
      <c r="AA421" s="73">
        <f t="shared" si="168"/>
        <v>100</v>
      </c>
      <c r="AB421" s="73">
        <f t="shared" si="168"/>
        <v>100</v>
      </c>
      <c r="AC421" s="4"/>
      <c r="AD421" s="4"/>
      <c r="AE421" s="4"/>
      <c r="AF421" s="4"/>
      <c r="AG421" s="4"/>
      <c r="AH421" s="4"/>
      <c r="AI421" s="4"/>
      <c r="AJ421" s="4"/>
      <c r="AK421" s="4"/>
      <c r="AL421" s="1"/>
      <c r="AM421" s="16"/>
      <c r="AN421" s="1"/>
      <c r="AO421" s="1"/>
      <c r="AP421" s="1"/>
      <c r="AQ421" s="1"/>
      <c r="AR421" s="1"/>
      <c r="AS421" s="1"/>
      <c r="AT421" s="1"/>
      <c r="AU421" s="1"/>
      <c r="AY421" s="38"/>
      <c r="AZ421" s="38"/>
      <c r="BC421" s="16"/>
      <c r="BD421" s="16"/>
      <c r="BE421" s="48"/>
      <c r="BF421" s="48"/>
      <c r="BG421" s="91"/>
      <c r="BH421" s="50"/>
      <c r="BI421" s="6"/>
      <c r="BJ421" s="49"/>
      <c r="BK421" s="48"/>
      <c r="BL421" s="48"/>
      <c r="BM421" s="48"/>
      <c r="BN421" s="48"/>
      <c r="BO421" s="48"/>
      <c r="BP421" s="48"/>
    </row>
    <row r="422" spans="1:68" s="5" customFormat="1" ht="11.25" customHeight="1" x14ac:dyDescent="0.2">
      <c r="A422" s="25"/>
      <c r="B422" s="25"/>
      <c r="C422" s="25"/>
      <c r="D422" s="25"/>
      <c r="H422" s="136" t="str">
        <f t="shared" si="169"/>
        <v>Grozdje-terase primorska</v>
      </c>
      <c r="I422" s="9" t="str">
        <f>+I$80</f>
        <v>Vrednost proizvodnje skupaj</v>
      </c>
      <c r="J422" s="159" t="str">
        <f>+J$80</f>
        <v>EUR/ha</v>
      </c>
      <c r="K422" s="163">
        <f>+K421*K400+K416+K418</f>
        <v>4827.2693733502101</v>
      </c>
      <c r="L422" s="163">
        <f>+L421*L400+L416+L418</f>
        <v>5454.7905325690117</v>
      </c>
      <c r="M422" s="164">
        <f t="shared" si="172"/>
        <v>112.99950573885813</v>
      </c>
      <c r="N422" s="8"/>
      <c r="O422" s="163">
        <f t="shared" ref="O422:U422" si="176">+O421*O400+O416+O418</f>
        <v>7200.5352976819959</v>
      </c>
      <c r="P422" s="163">
        <f t="shared" si="176"/>
        <v>6036.8079948040331</v>
      </c>
      <c r="Q422" s="163">
        <f t="shared" si="176"/>
        <v>5454.7905325690117</v>
      </c>
      <c r="R422" s="163">
        <f t="shared" si="176"/>
        <v>4872.9013446284425</v>
      </c>
      <c r="S422" s="163">
        <f t="shared" si="176"/>
        <v>5454.7905325690117</v>
      </c>
      <c r="T422" s="163">
        <f t="shared" si="176"/>
        <v>5454.7905325690117</v>
      </c>
      <c r="U422" s="1" t="e">
        <f t="shared" si="176"/>
        <v>#N/A</v>
      </c>
      <c r="V422" s="9"/>
      <c r="W422" s="8">
        <f t="shared" si="168"/>
        <v>132.00388272821175</v>
      </c>
      <c r="X422" s="8">
        <f t="shared" si="168"/>
        <v>110.66984073467093</v>
      </c>
      <c r="Y422" s="8">
        <f t="shared" si="168"/>
        <v>100</v>
      </c>
      <c r="Z422" s="8">
        <f t="shared" si="168"/>
        <v>89.332510855068165</v>
      </c>
      <c r="AA422" s="8">
        <f t="shared" si="168"/>
        <v>100</v>
      </c>
      <c r="AB422" s="8">
        <f t="shared" si="168"/>
        <v>100</v>
      </c>
      <c r="AC422" s="8"/>
      <c r="AD422" s="8"/>
      <c r="AE422" s="8"/>
      <c r="AF422" s="8"/>
      <c r="AG422" s="8"/>
      <c r="AH422" s="8"/>
      <c r="AI422" s="8"/>
      <c r="AJ422" s="8"/>
      <c r="AK422" s="8"/>
      <c r="AL422" s="1"/>
      <c r="AM422" s="9"/>
      <c r="AN422" s="1"/>
      <c r="AO422" s="1"/>
      <c r="AP422" s="1"/>
      <c r="AQ422" s="1"/>
      <c r="AR422" s="1"/>
      <c r="AS422" s="1"/>
      <c r="AT422" s="1"/>
      <c r="AU422" s="1"/>
      <c r="AY422" s="38"/>
      <c r="AZ422" s="38"/>
      <c r="BC422" s="9"/>
      <c r="BD422" s="9"/>
      <c r="BE422" s="43"/>
      <c r="BF422" s="43"/>
      <c r="BG422" s="91"/>
      <c r="BH422" s="44"/>
      <c r="BI422" s="8"/>
      <c r="BJ422" s="43"/>
      <c r="BK422" s="43"/>
      <c r="BL422" s="43"/>
      <c r="BM422" s="43"/>
      <c r="BN422" s="43"/>
      <c r="BO422" s="43"/>
      <c r="BP422" s="43"/>
    </row>
    <row r="423" spans="1:68" s="5" customFormat="1" ht="11.25" customHeight="1" x14ac:dyDescent="0.2">
      <c r="A423" s="25"/>
      <c r="B423" s="25"/>
      <c r="C423" s="25"/>
      <c r="D423" s="25"/>
      <c r="H423" s="136" t="str">
        <f t="shared" si="169"/>
        <v>Grozdje-terase primorska</v>
      </c>
      <c r="I423" s="1" t="str">
        <f>+I$81</f>
        <v xml:space="preserve">  Od tega interna realizacija</v>
      </c>
      <c r="J423" s="162" t="str">
        <f>+J$81</f>
        <v>EUR/ha</v>
      </c>
      <c r="K423" s="177">
        <f>+K422-K425</f>
        <v>0</v>
      </c>
      <c r="L423" s="177">
        <f>+L422-L425</f>
        <v>0</v>
      </c>
      <c r="M423" s="164"/>
      <c r="N423" s="8"/>
      <c r="O423" s="177">
        <f t="shared" ref="O423:U423" si="177">+O422-O425</f>
        <v>0</v>
      </c>
      <c r="P423" s="177">
        <f t="shared" si="177"/>
        <v>0</v>
      </c>
      <c r="Q423" s="177">
        <f t="shared" si="177"/>
        <v>0</v>
      </c>
      <c r="R423" s="177">
        <f t="shared" si="177"/>
        <v>0</v>
      </c>
      <c r="S423" s="177">
        <f t="shared" si="177"/>
        <v>0</v>
      </c>
      <c r="T423" s="177">
        <f t="shared" si="177"/>
        <v>0</v>
      </c>
      <c r="U423" s="1" t="e">
        <f t="shared" si="177"/>
        <v>#N/A</v>
      </c>
      <c r="V423" s="1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Y423" s="38"/>
      <c r="AZ423" s="38"/>
      <c r="BC423" s="1"/>
      <c r="BD423" s="1"/>
      <c r="BE423" s="39"/>
      <c r="BF423" s="39"/>
      <c r="BG423" s="91"/>
      <c r="BH423" s="42"/>
      <c r="BI423" s="4"/>
      <c r="BJ423" s="43"/>
      <c r="BK423" s="39"/>
      <c r="BL423" s="39"/>
      <c r="BM423" s="39"/>
      <c r="BN423" s="39"/>
      <c r="BO423" s="39"/>
      <c r="BP423" s="39"/>
    </row>
    <row r="424" spans="1:68" s="5" customFormat="1" ht="11.25" customHeight="1" x14ac:dyDescent="0.2">
      <c r="A424" s="25"/>
      <c r="B424" s="25"/>
      <c r="C424" s="25"/>
      <c r="D424" s="25"/>
      <c r="H424" s="136" t="str">
        <f t="shared" si="169"/>
        <v>Grozdje-terase primorska</v>
      </c>
      <c r="I424" s="151" t="str">
        <f>+I$82</f>
        <v>OBRAČUN DOHODKA</v>
      </c>
      <c r="J424" s="165"/>
      <c r="K424" s="171"/>
      <c r="L424" s="171"/>
      <c r="M424" s="170"/>
      <c r="N424" s="8"/>
      <c r="O424" s="171"/>
      <c r="P424" s="171"/>
      <c r="Q424" s="171"/>
      <c r="R424" s="171"/>
      <c r="S424" s="171"/>
      <c r="T424" s="171"/>
      <c r="U424" s="1"/>
      <c r="V424" s="1"/>
      <c r="W424" s="156"/>
      <c r="X424" s="156"/>
      <c r="Y424" s="156"/>
      <c r="Z424" s="156"/>
      <c r="AA424" s="156"/>
      <c r="AB424" s="156"/>
      <c r="AC424" s="4"/>
      <c r="AD424" s="4"/>
      <c r="AE424" s="4"/>
      <c r="AF424" s="4"/>
      <c r="AG424" s="4"/>
      <c r="AH424" s="4"/>
      <c r="AI424" s="4"/>
      <c r="AJ424" s="4"/>
      <c r="AK424" s="4"/>
      <c r="AL424" s="1"/>
      <c r="AM424" s="9"/>
      <c r="AN424" s="1"/>
      <c r="AO424" s="1"/>
      <c r="AP424" s="1"/>
      <c r="AQ424" s="1"/>
      <c r="AR424" s="1"/>
      <c r="AS424" s="1"/>
      <c r="AT424" s="1"/>
      <c r="AU424" s="1"/>
      <c r="AY424" s="38"/>
      <c r="AZ424" s="38"/>
      <c r="BC424" s="9"/>
      <c r="BD424" s="1"/>
      <c r="BE424" s="39"/>
      <c r="BF424" s="39"/>
      <c r="BG424" s="91"/>
      <c r="BH424" s="42"/>
      <c r="BI424" s="4"/>
      <c r="BJ424" s="43"/>
      <c r="BK424" s="39"/>
      <c r="BL424" s="39"/>
      <c r="BM424" s="39"/>
      <c r="BN424" s="39"/>
      <c r="BO424" s="39"/>
      <c r="BP424" s="39"/>
    </row>
    <row r="425" spans="1:68" s="5" customFormat="1" ht="11.25" customHeight="1" x14ac:dyDescent="0.2">
      <c r="A425" s="25" t="s">
        <v>29</v>
      </c>
      <c r="B425" s="25"/>
      <c r="C425" s="25"/>
      <c r="D425" s="25"/>
      <c r="H425" s="136" t="str">
        <f t="shared" si="169"/>
        <v>Grozdje-terase primorska</v>
      </c>
      <c r="I425" s="152" t="str">
        <f>+I$83</f>
        <v>Vrednost finalne proizvodnje skupaj</v>
      </c>
      <c r="J425" s="165" t="str">
        <f>+J$83</f>
        <v>EUR/ha</v>
      </c>
      <c r="K425" s="171">
        <v>4827.2693733502101</v>
      </c>
      <c r="L425" s="171">
        <v>5454.7905325690117</v>
      </c>
      <c r="M425" s="172">
        <f t="shared" ref="M425:M432" si="178">L425/K425*100</f>
        <v>112.99950573885813</v>
      </c>
      <c r="N425" s="8"/>
      <c r="O425" s="171">
        <v>7200.5352976819959</v>
      </c>
      <c r="P425" s="171">
        <v>6036.8079948040331</v>
      </c>
      <c r="Q425" s="171">
        <v>5454.7905325690117</v>
      </c>
      <c r="R425" s="171">
        <v>4872.9013446284425</v>
      </c>
      <c r="S425" s="171">
        <v>5454.7905325690117</v>
      </c>
      <c r="T425" s="171">
        <v>5454.7905325690117</v>
      </c>
      <c r="U425" s="1" t="e">
        <v>#N/A</v>
      </c>
      <c r="V425" s="1"/>
      <c r="W425" s="156">
        <f t="shared" si="168"/>
        <v>132.00388272821175</v>
      </c>
      <c r="X425" s="156">
        <f t="shared" si="168"/>
        <v>110.66984073467093</v>
      </c>
      <c r="Y425" s="156">
        <f t="shared" si="168"/>
        <v>100</v>
      </c>
      <c r="Z425" s="156">
        <f t="shared" si="168"/>
        <v>89.332510855068165</v>
      </c>
      <c r="AA425" s="156">
        <f t="shared" si="168"/>
        <v>100</v>
      </c>
      <c r="AB425" s="156">
        <f t="shared" si="168"/>
        <v>100</v>
      </c>
      <c r="AC425" s="4"/>
      <c r="AD425" s="4"/>
      <c r="AE425" s="4"/>
      <c r="AF425" s="4"/>
      <c r="AG425" s="4"/>
      <c r="AH425" s="4"/>
      <c r="AI425" s="4"/>
      <c r="AJ425" s="4"/>
      <c r="AK425" s="4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Y425" s="38"/>
      <c r="AZ425" s="38"/>
      <c r="BC425" s="1"/>
      <c r="BD425" s="1"/>
      <c r="BE425" s="40"/>
      <c r="BF425" s="40"/>
      <c r="BG425" s="91"/>
      <c r="BH425" s="42"/>
      <c r="BI425" s="41"/>
      <c r="BJ425" s="39"/>
      <c r="BK425" s="40"/>
      <c r="BL425" s="40"/>
      <c r="BM425" s="40"/>
      <c r="BN425" s="40"/>
      <c r="BO425" s="40"/>
      <c r="BP425" s="40"/>
    </row>
    <row r="426" spans="1:68" s="5" customFormat="1" ht="11.25" customHeight="1" x14ac:dyDescent="0.2">
      <c r="A426" s="25" t="s">
        <v>28</v>
      </c>
      <c r="B426" s="25"/>
      <c r="C426" s="25"/>
      <c r="D426" s="25"/>
      <c r="H426" s="136" t="str">
        <f t="shared" si="169"/>
        <v>Grozdje-terase primorska</v>
      </c>
      <c r="I426" s="152" t="str">
        <f>+I$84</f>
        <v>Stroški zmanjšani za interno realizacijo</v>
      </c>
      <c r="J426" s="165" t="str">
        <f>+J$84</f>
        <v>EUR/ha</v>
      </c>
      <c r="K426" s="171">
        <v>7608.8059935359697</v>
      </c>
      <c r="L426" s="171">
        <v>8040.2824951055209</v>
      </c>
      <c r="M426" s="172">
        <f t="shared" si="178"/>
        <v>105.67075178334302</v>
      </c>
      <c r="N426" s="8"/>
      <c r="O426" s="171">
        <v>8480.4752530862534</v>
      </c>
      <c r="P426" s="171">
        <v>8194.8690139247228</v>
      </c>
      <c r="Q426" s="171">
        <v>8040.2824951055209</v>
      </c>
      <c r="R426" s="171">
        <v>7882.795287451072</v>
      </c>
      <c r="S426" s="171">
        <v>8357.8199717121388</v>
      </c>
      <c r="T426" s="171">
        <v>7722.7450184989011</v>
      </c>
      <c r="U426" s="1" t="e">
        <v>#N/A</v>
      </c>
      <c r="V426" s="1"/>
      <c r="W426" s="156">
        <f t="shared" si="168"/>
        <v>105.47484193806247</v>
      </c>
      <c r="X426" s="156">
        <f t="shared" si="168"/>
        <v>101.92265034112056</v>
      </c>
      <c r="Y426" s="156">
        <f t="shared" si="168"/>
        <v>100</v>
      </c>
      <c r="Z426" s="156">
        <f t="shared" si="168"/>
        <v>98.041272707142838</v>
      </c>
      <c r="AA426" s="156">
        <f t="shared" si="168"/>
        <v>103.94933233751323</v>
      </c>
      <c r="AB426" s="156">
        <f t="shared" si="168"/>
        <v>96.050667662486745</v>
      </c>
      <c r="AC426" s="4"/>
      <c r="AD426" s="4"/>
      <c r="AE426" s="4"/>
      <c r="AF426" s="4"/>
      <c r="AG426" s="4"/>
      <c r="AH426" s="4"/>
      <c r="AI426" s="4"/>
      <c r="AJ426" s="4"/>
      <c r="AK426" s="4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Y426" s="38"/>
      <c r="AZ426" s="38"/>
      <c r="BC426" s="1"/>
      <c r="BD426" s="1"/>
      <c r="BE426" s="47"/>
      <c r="BF426" s="47"/>
      <c r="BG426" s="91"/>
      <c r="BH426" s="42"/>
      <c r="BI426" s="7"/>
      <c r="BJ426" s="39"/>
      <c r="BK426" s="47"/>
      <c r="BL426" s="47"/>
      <c r="BM426" s="47"/>
      <c r="BN426" s="47"/>
      <c r="BO426" s="47"/>
      <c r="BP426" s="47"/>
    </row>
    <row r="427" spans="1:68" s="5" customFormat="1" ht="11.25" customHeight="1" x14ac:dyDescent="0.2">
      <c r="A427" s="25" t="s">
        <v>27</v>
      </c>
      <c r="B427" s="25"/>
      <c r="C427" s="25"/>
      <c r="D427" s="25"/>
      <c r="H427" s="136" t="str">
        <f t="shared" si="169"/>
        <v>Grozdje-terase primorska</v>
      </c>
      <c r="I427" s="152" t="str">
        <f>+I$85</f>
        <v xml:space="preserve">  Stroški kupljenega blaga in storitev</v>
      </c>
      <c r="J427" s="165" t="str">
        <f>+J$85</f>
        <v>EUR/ha</v>
      </c>
      <c r="K427" s="171">
        <v>3020.6308361780998</v>
      </c>
      <c r="L427" s="171">
        <v>3198.2233077803526</v>
      </c>
      <c r="M427" s="172">
        <f t="shared" si="178"/>
        <v>105.87931730932583</v>
      </c>
      <c r="N427" s="8"/>
      <c r="O427" s="171">
        <v>3466.7402326895199</v>
      </c>
      <c r="P427" s="171">
        <v>3294.1449134700742</v>
      </c>
      <c r="Q427" s="171">
        <v>3198.2233077803526</v>
      </c>
      <c r="R427" s="171">
        <v>3097.7208451455026</v>
      </c>
      <c r="S427" s="171">
        <v>3251.7686292888579</v>
      </c>
      <c r="T427" s="171">
        <v>3144.6779862718449</v>
      </c>
      <c r="U427" s="1" t="e">
        <v>#N/A</v>
      </c>
      <c r="V427" s="1"/>
      <c r="W427" s="156">
        <f t="shared" si="168"/>
        <v>108.39581539712826</v>
      </c>
      <c r="X427" s="156">
        <f t="shared" si="168"/>
        <v>102.99921539113208</v>
      </c>
      <c r="Y427" s="156">
        <f t="shared" si="168"/>
        <v>100</v>
      </c>
      <c r="Z427" s="156">
        <f t="shared" si="168"/>
        <v>96.857553304975411</v>
      </c>
      <c r="AA427" s="156">
        <f t="shared" si="168"/>
        <v>101.67422085187876</v>
      </c>
      <c r="AB427" s="156">
        <f t="shared" si="168"/>
        <v>98.325779148121157</v>
      </c>
      <c r="AC427" s="4"/>
      <c r="AD427" s="4"/>
      <c r="AE427" s="4"/>
      <c r="AF427" s="4"/>
      <c r="AG427" s="4"/>
      <c r="AH427" s="4"/>
      <c r="AI427" s="4"/>
      <c r="AJ427" s="4"/>
      <c r="AK427" s="4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Y427" s="38"/>
      <c r="AZ427" s="38"/>
      <c r="BC427" s="1"/>
      <c r="BD427" s="1"/>
      <c r="BE427" s="47"/>
      <c r="BF427" s="47"/>
      <c r="BG427" s="91"/>
      <c r="BH427" s="42"/>
      <c r="BI427" s="7"/>
      <c r="BJ427" s="39"/>
      <c r="BK427" s="47"/>
      <c r="BL427" s="47"/>
      <c r="BM427" s="47"/>
      <c r="BN427" s="47"/>
      <c r="BO427" s="47"/>
      <c r="BP427" s="47"/>
    </row>
    <row r="428" spans="1:68" s="5" customFormat="1" ht="11.25" customHeight="1" x14ac:dyDescent="0.2">
      <c r="A428" s="25" t="s">
        <v>26</v>
      </c>
      <c r="B428" s="25"/>
      <c r="C428" s="25"/>
      <c r="D428" s="25"/>
      <c r="H428" s="136" t="str">
        <f t="shared" si="169"/>
        <v>Grozdje-terase primorska</v>
      </c>
      <c r="I428" s="152" t="str">
        <f>+I$86</f>
        <v xml:space="preserve">  Amortizacija</v>
      </c>
      <c r="J428" s="165" t="str">
        <f>+J$86</f>
        <v>EUR/ha</v>
      </c>
      <c r="K428" s="171">
        <v>1514.5265695314336</v>
      </c>
      <c r="L428" s="171">
        <v>1600.3797186575844</v>
      </c>
      <c r="M428" s="172">
        <f t="shared" si="178"/>
        <v>105.66864595533059</v>
      </c>
      <c r="N428" s="8"/>
      <c r="O428" s="171">
        <v>1631.6294024223134</v>
      </c>
      <c r="P428" s="171">
        <v>1611.1413407585294</v>
      </c>
      <c r="Q428" s="171">
        <v>1600.3797186575844</v>
      </c>
      <c r="R428" s="171">
        <v>1590.0415698594913</v>
      </c>
      <c r="S428" s="171">
        <v>1650.5863853242508</v>
      </c>
      <c r="T428" s="171">
        <v>1550.1730519909174</v>
      </c>
      <c r="U428" s="1" t="e">
        <v>#N/A</v>
      </c>
      <c r="V428" s="1"/>
      <c r="W428" s="156">
        <f t="shared" si="168"/>
        <v>101.95264182621244</v>
      </c>
      <c r="X428" s="156">
        <f t="shared" si="168"/>
        <v>100.67244179462433</v>
      </c>
      <c r="Y428" s="156">
        <f t="shared" si="168"/>
        <v>100</v>
      </c>
      <c r="Z428" s="156">
        <f t="shared" si="168"/>
        <v>99.354019007016362</v>
      </c>
      <c r="AA428" s="156">
        <f t="shared" si="168"/>
        <v>103.13717213992066</v>
      </c>
      <c r="AB428" s="156">
        <f t="shared" si="168"/>
        <v>96.862827860079307</v>
      </c>
      <c r="AC428" s="4"/>
      <c r="AD428" s="4"/>
      <c r="AE428" s="4"/>
      <c r="AF428" s="4"/>
      <c r="AG428" s="4"/>
      <c r="AH428" s="4"/>
      <c r="AI428" s="4"/>
      <c r="AJ428" s="4"/>
      <c r="AK428" s="4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Y428" s="38"/>
      <c r="AZ428" s="38"/>
      <c r="BC428" s="1"/>
      <c r="BD428" s="1"/>
      <c r="BE428" s="40"/>
      <c r="BF428" s="40"/>
      <c r="BG428" s="91"/>
      <c r="BH428" s="42"/>
      <c r="BI428" s="41"/>
      <c r="BJ428" s="39"/>
      <c r="BK428" s="40"/>
      <c r="BL428" s="40"/>
      <c r="BM428" s="40"/>
      <c r="BN428" s="40"/>
      <c r="BO428" s="40"/>
      <c r="BP428" s="40"/>
    </row>
    <row r="429" spans="1:68" s="5" customFormat="1" ht="11.25" customHeight="1" x14ac:dyDescent="0.2">
      <c r="A429" s="25"/>
      <c r="B429" s="25"/>
      <c r="C429" s="25"/>
      <c r="D429" s="25"/>
      <c r="H429" s="136" t="str">
        <f t="shared" si="169"/>
        <v>Grozdje-terase primorska</v>
      </c>
      <c r="I429" s="151" t="str">
        <f>+I$87</f>
        <v xml:space="preserve">  Stroški domačega dela in kapitala</v>
      </c>
      <c r="J429" s="168" t="str">
        <f>+J$87</f>
        <v>EUR/ha</v>
      </c>
      <c r="K429" s="169">
        <f>+K426-K427-K428</f>
        <v>3073.6485878264357</v>
      </c>
      <c r="L429" s="169">
        <f>+L426-L427-L428</f>
        <v>3241.6794686675844</v>
      </c>
      <c r="M429" s="170">
        <f t="shared" si="178"/>
        <v>105.46682146770637</v>
      </c>
      <c r="N429" s="8"/>
      <c r="O429" s="169">
        <f t="shared" ref="O429:U429" si="179">+O426-O427-O428</f>
        <v>3382.1056179744201</v>
      </c>
      <c r="P429" s="169">
        <f t="shared" si="179"/>
        <v>3289.582759696119</v>
      </c>
      <c r="Q429" s="169">
        <f t="shared" si="179"/>
        <v>3241.6794686675844</v>
      </c>
      <c r="R429" s="169">
        <f t="shared" si="179"/>
        <v>3195.0328724460778</v>
      </c>
      <c r="S429" s="169">
        <f t="shared" si="179"/>
        <v>3455.4649570990305</v>
      </c>
      <c r="T429" s="169">
        <f t="shared" si="179"/>
        <v>3027.8939802361388</v>
      </c>
      <c r="U429" s="1" t="e">
        <f t="shared" si="179"/>
        <v>#N/A</v>
      </c>
      <c r="V429" s="9"/>
      <c r="W429" s="155">
        <f t="shared" si="168"/>
        <v>104.33189495334511</v>
      </c>
      <c r="X429" s="155">
        <f t="shared" si="168"/>
        <v>101.47773064831188</v>
      </c>
      <c r="Y429" s="155">
        <f t="shared" si="168"/>
        <v>100</v>
      </c>
      <c r="Z429" s="155">
        <f t="shared" si="168"/>
        <v>98.561036133511394</v>
      </c>
      <c r="AA429" s="155">
        <f t="shared" si="168"/>
        <v>106.59489904840338</v>
      </c>
      <c r="AB429" s="155">
        <f t="shared" si="168"/>
        <v>93.405100951596637</v>
      </c>
      <c r="AC429" s="8"/>
      <c r="AD429" s="8"/>
      <c r="AE429" s="8"/>
      <c r="AF429" s="8"/>
      <c r="AG429" s="8"/>
      <c r="AH429" s="8"/>
      <c r="AI429" s="8"/>
      <c r="AJ429" s="8"/>
      <c r="AK429" s="8"/>
      <c r="AL429" s="1"/>
      <c r="AM429" s="9"/>
      <c r="AN429" s="1"/>
      <c r="AO429" s="1"/>
      <c r="AP429" s="1"/>
      <c r="AQ429" s="1"/>
      <c r="AR429" s="1"/>
      <c r="AS429" s="1"/>
      <c r="AT429" s="1"/>
      <c r="AU429" s="1"/>
      <c r="AY429" s="38"/>
      <c r="AZ429" s="38"/>
      <c r="BC429" s="9"/>
      <c r="BD429" s="9"/>
      <c r="BE429" s="43"/>
      <c r="BF429" s="43"/>
      <c r="BG429" s="91"/>
      <c r="BH429" s="44"/>
      <c r="BI429" s="8"/>
      <c r="BJ429" s="43"/>
      <c r="BK429" s="43"/>
      <c r="BL429" s="43"/>
      <c r="BM429" s="43"/>
      <c r="BN429" s="43"/>
      <c r="BO429" s="43"/>
      <c r="BP429" s="43"/>
    </row>
    <row r="430" spans="1:68" s="5" customFormat="1" ht="11.25" customHeight="1" x14ac:dyDescent="0.2">
      <c r="A430" s="25"/>
      <c r="B430" s="25"/>
      <c r="C430" s="25"/>
      <c r="D430" s="25"/>
      <c r="H430" s="136" t="str">
        <f t="shared" si="169"/>
        <v>Grozdje-terase primorska</v>
      </c>
      <c r="I430" s="152" t="str">
        <f>+I$88</f>
        <v xml:space="preserve">Bruto dodana vrednost </v>
      </c>
      <c r="J430" s="165" t="str">
        <f>+J$88</f>
        <v>EUR/ha</v>
      </c>
      <c r="K430" s="171">
        <f>+K425-K427</f>
        <v>1806.6385371721103</v>
      </c>
      <c r="L430" s="171">
        <f>+L425-L427</f>
        <v>2256.5672247886591</v>
      </c>
      <c r="M430" s="172">
        <f t="shared" si="178"/>
        <v>124.9041896516174</v>
      </c>
      <c r="N430" s="8"/>
      <c r="O430" s="171">
        <f t="shared" ref="O430:U430" si="180">+O425-O427</f>
        <v>3733.795064992476</v>
      </c>
      <c r="P430" s="171">
        <f t="shared" si="180"/>
        <v>2742.6630813339589</v>
      </c>
      <c r="Q430" s="171">
        <f t="shared" si="180"/>
        <v>2256.5672247886591</v>
      </c>
      <c r="R430" s="171">
        <f t="shared" si="180"/>
        <v>1775.1804994829399</v>
      </c>
      <c r="S430" s="171">
        <f t="shared" si="180"/>
        <v>2203.0219032801538</v>
      </c>
      <c r="T430" s="171">
        <f t="shared" si="180"/>
        <v>2310.1125462971668</v>
      </c>
      <c r="U430" s="1" t="e">
        <f t="shared" si="180"/>
        <v>#N/A</v>
      </c>
      <c r="V430" s="1"/>
      <c r="W430" s="156">
        <f t="shared" si="168"/>
        <v>165.46349800601078</v>
      </c>
      <c r="X430" s="156">
        <f t="shared" si="168"/>
        <v>121.54138601347564</v>
      </c>
      <c r="Y430" s="156">
        <f t="shared" si="168"/>
        <v>100</v>
      </c>
      <c r="Z430" s="156">
        <f t="shared" si="168"/>
        <v>78.667299603679936</v>
      </c>
      <c r="AA430" s="156">
        <f t="shared" si="168"/>
        <v>97.627133775572744</v>
      </c>
      <c r="AB430" s="156">
        <f t="shared" si="168"/>
        <v>102.37286622442734</v>
      </c>
      <c r="AC430" s="4"/>
      <c r="AD430" s="4"/>
      <c r="AE430" s="4"/>
      <c r="AF430" s="4"/>
      <c r="AG430" s="4"/>
      <c r="AH430" s="4"/>
      <c r="AI430" s="4"/>
      <c r="AJ430" s="4"/>
      <c r="AK430" s="4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Y430" s="38"/>
      <c r="AZ430" s="38"/>
      <c r="BC430" s="1"/>
      <c r="BD430" s="1"/>
      <c r="BE430" s="39"/>
      <c r="BF430" s="39"/>
      <c r="BG430" s="91"/>
      <c r="BH430" s="42"/>
      <c r="BI430" s="4"/>
      <c r="BJ430" s="39"/>
      <c r="BK430" s="39"/>
      <c r="BL430" s="39"/>
      <c r="BM430" s="39"/>
      <c r="BN430" s="39"/>
      <c r="BO430" s="39"/>
      <c r="BP430" s="39"/>
    </row>
    <row r="431" spans="1:68" s="5" customFormat="1" ht="11.25" customHeight="1" x14ac:dyDescent="0.2">
      <c r="A431" s="25"/>
      <c r="B431" s="25"/>
      <c r="C431" s="25"/>
      <c r="D431" s="25"/>
      <c r="H431" s="136" t="str">
        <f t="shared" si="169"/>
        <v>Grozdje-terase primorska</v>
      </c>
      <c r="I431" s="151" t="str">
        <f>+I$89</f>
        <v>Neto dodana vrednost</v>
      </c>
      <c r="J431" s="168" t="str">
        <f>+J$89</f>
        <v>EUR/ha</v>
      </c>
      <c r="K431" s="169">
        <f>+K430-K428</f>
        <v>292.11196764067677</v>
      </c>
      <c r="L431" s="169">
        <f>+L430-L428</f>
        <v>656.18750613107477</v>
      </c>
      <c r="M431" s="170">
        <f t="shared" si="178"/>
        <v>224.6356119644652</v>
      </c>
      <c r="N431" s="8"/>
      <c r="O431" s="169">
        <f t="shared" ref="O431:U431" si="181">+O430-O428</f>
        <v>2102.1656625701626</v>
      </c>
      <c r="P431" s="169">
        <f t="shared" si="181"/>
        <v>1131.5217405754295</v>
      </c>
      <c r="Q431" s="169">
        <f t="shared" si="181"/>
        <v>656.18750613107477</v>
      </c>
      <c r="R431" s="169">
        <f t="shared" si="181"/>
        <v>185.13892962344858</v>
      </c>
      <c r="S431" s="169">
        <f t="shared" si="181"/>
        <v>552.43551795590292</v>
      </c>
      <c r="T431" s="169">
        <f t="shared" si="181"/>
        <v>759.93949430624934</v>
      </c>
      <c r="U431" s="1" t="e">
        <f t="shared" si="181"/>
        <v>#N/A</v>
      </c>
      <c r="V431" s="9"/>
      <c r="W431" s="155">
        <f t="shared" si="168"/>
        <v>320.36051325705228</v>
      </c>
      <c r="X431" s="155">
        <f t="shared" si="168"/>
        <v>172.43878159871667</v>
      </c>
      <c r="Y431" s="155">
        <f t="shared" si="168"/>
        <v>100</v>
      </c>
      <c r="Z431" s="155">
        <f t="shared" si="168"/>
        <v>28.214333234571935</v>
      </c>
      <c r="AA431" s="155">
        <f t="shared" si="168"/>
        <v>84.188667536981853</v>
      </c>
      <c r="AB431" s="155">
        <f t="shared" si="168"/>
        <v>115.81133246301856</v>
      </c>
      <c r="AC431" s="8"/>
      <c r="AD431" s="8"/>
      <c r="AE431" s="8"/>
      <c r="AF431" s="8"/>
      <c r="AG431" s="8"/>
      <c r="AH431" s="8"/>
      <c r="AI431" s="8"/>
      <c r="AJ431" s="8"/>
      <c r="AK431" s="8"/>
      <c r="AL431" s="1"/>
      <c r="AM431" s="9"/>
      <c r="AN431" s="1"/>
      <c r="AO431" s="1"/>
      <c r="AP431" s="1"/>
      <c r="AQ431" s="1"/>
      <c r="AR431" s="1"/>
      <c r="AS431" s="1"/>
      <c r="AT431" s="1"/>
      <c r="AU431" s="1"/>
      <c r="AY431" s="38"/>
      <c r="AZ431" s="38"/>
      <c r="BC431" s="9"/>
      <c r="BD431" s="9"/>
      <c r="BE431" s="43"/>
      <c r="BF431" s="43"/>
      <c r="BG431" s="91"/>
      <c r="BH431" s="44"/>
      <c r="BI431" s="8"/>
      <c r="BJ431" s="43"/>
      <c r="BK431" s="43"/>
      <c r="BL431" s="43"/>
      <c r="BM431" s="43"/>
      <c r="BN431" s="43"/>
      <c r="BO431" s="43"/>
      <c r="BP431" s="43"/>
    </row>
    <row r="432" spans="1:68" s="5" customFormat="1" ht="11.25" customHeight="1" x14ac:dyDescent="0.25">
      <c r="A432" s="25" t="s">
        <v>25</v>
      </c>
      <c r="B432" s="25" t="s">
        <v>24</v>
      </c>
      <c r="C432" s="25"/>
      <c r="D432" s="25"/>
      <c r="H432" s="136" t="str">
        <f t="shared" si="169"/>
        <v>Grozdje-terase primorska</v>
      </c>
      <c r="I432" s="152" t="str">
        <f>+I$90</f>
        <v>Neto dodana vrednost/uro</v>
      </c>
      <c r="J432" s="167" t="str">
        <f>+J$90</f>
        <v>EUR/uro</v>
      </c>
      <c r="K432" s="171">
        <v>1.4739433507725126</v>
      </c>
      <c r="L432" s="171">
        <v>3.3097644371637776</v>
      </c>
      <c r="M432" s="172">
        <f t="shared" si="178"/>
        <v>224.55167190985242</v>
      </c>
      <c r="N432" s="8"/>
      <c r="O432" s="171">
        <v>10.081180682119951</v>
      </c>
      <c r="P432" s="171">
        <v>5.6084494398212206</v>
      </c>
      <c r="Q432" s="171">
        <v>3.3097644371637776</v>
      </c>
      <c r="R432" s="171">
        <v>0.95013808494246188</v>
      </c>
      <c r="S432" s="171">
        <v>2.5961123965784996</v>
      </c>
      <c r="T432" s="171">
        <v>4.1363382560824675</v>
      </c>
      <c r="U432" s="1" t="e">
        <v>#N/A</v>
      </c>
      <c r="V432" s="1"/>
      <c r="W432" s="156">
        <f t="shared" si="168"/>
        <v>304.58906890542261</v>
      </c>
      <c r="X432" s="156">
        <f t="shared" si="168"/>
        <v>169.45161948223861</v>
      </c>
      <c r="Y432" s="156">
        <f t="shared" si="168"/>
        <v>100</v>
      </c>
      <c r="Z432" s="156">
        <f t="shared" si="168"/>
        <v>28.707121095199746</v>
      </c>
      <c r="AA432" s="156">
        <f t="shared" si="168"/>
        <v>78.437980885527168</v>
      </c>
      <c r="AB432" s="156">
        <f t="shared" si="168"/>
        <v>124.97379600909007</v>
      </c>
      <c r="AC432" s="4"/>
      <c r="AD432" s="4"/>
      <c r="AE432" s="339" t="s">
        <v>234</v>
      </c>
      <c r="AF432" s="340"/>
      <c r="AG432" s="340"/>
      <c r="AH432" s="340"/>
      <c r="AI432" s="340"/>
      <c r="AJ432" s="340"/>
      <c r="AK432" s="340"/>
      <c r="AL432" s="340"/>
      <c r="AM432" s="340"/>
      <c r="AN432" s="1"/>
      <c r="AO432" s="1"/>
      <c r="AP432" s="1"/>
      <c r="AQ432" s="1"/>
      <c r="AR432" s="1"/>
      <c r="AS432" s="1"/>
      <c r="AT432" s="1"/>
      <c r="AU432" s="1"/>
      <c r="AY432" s="38"/>
      <c r="AZ432" s="38"/>
      <c r="BC432" s="9"/>
      <c r="BD432" s="9"/>
      <c r="BE432" s="43"/>
      <c r="BF432" s="43"/>
      <c r="BG432" s="91"/>
      <c r="BH432" s="44"/>
      <c r="BI432" s="8"/>
      <c r="BJ432" s="43"/>
      <c r="BK432" s="43"/>
      <c r="BL432" s="43"/>
      <c r="BM432" s="43"/>
      <c r="BN432" s="43"/>
      <c r="BO432" s="43"/>
      <c r="BP432" s="43"/>
    </row>
    <row r="433" spans="1:68" s="5" customFormat="1" ht="11.25" customHeight="1" x14ac:dyDescent="0.25">
      <c r="A433" s="25" t="s">
        <v>67</v>
      </c>
      <c r="B433" s="25"/>
      <c r="C433" s="25"/>
      <c r="D433" s="25"/>
      <c r="H433" s="136" t="str">
        <f t="shared" si="169"/>
        <v>Grozdje-terase primorska</v>
      </c>
      <c r="I433" s="1"/>
      <c r="J433" s="19"/>
      <c r="K433" s="35">
        <v>4.8277425550450781E-2</v>
      </c>
      <c r="L433" s="35">
        <v>0</v>
      </c>
      <c r="M433" s="36"/>
      <c r="N433" s="36"/>
      <c r="O433" s="35">
        <v>0</v>
      </c>
      <c r="P433" s="35">
        <v>0</v>
      </c>
      <c r="Q433" s="35">
        <v>0</v>
      </c>
      <c r="R433" s="35">
        <v>0</v>
      </c>
      <c r="S433" s="35">
        <v>0</v>
      </c>
      <c r="T433" s="35">
        <v>0</v>
      </c>
      <c r="U433" s="35" t="e">
        <v>#N/A</v>
      </c>
      <c r="V433" s="1"/>
      <c r="W433" s="4"/>
      <c r="X433" s="4"/>
      <c r="Y433" s="4"/>
      <c r="Z433" s="4"/>
      <c r="AA433" s="4"/>
      <c r="AB433" s="4"/>
      <c r="AC433" s="4"/>
      <c r="AD433" s="4"/>
      <c r="AE433" s="192" t="str">
        <f>AF$10&amp;""&amp;$L$56</f>
        <v>prva ocena letine 2021</v>
      </c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Y433" s="38"/>
      <c r="AZ433" s="38"/>
      <c r="BC433" s="9"/>
      <c r="BD433" s="9"/>
      <c r="BE433" s="43"/>
      <c r="BF433" s="43"/>
      <c r="BG433" s="91"/>
      <c r="BH433" s="44"/>
      <c r="BI433" s="8"/>
      <c r="BJ433" s="43"/>
      <c r="BK433" s="43"/>
      <c r="BL433" s="43"/>
      <c r="BM433" s="43"/>
      <c r="BN433" s="43"/>
      <c r="BO433" s="43"/>
      <c r="BP433" s="43"/>
    </row>
    <row r="434" spans="1:68" ht="12" x14ac:dyDescent="0.25">
      <c r="E434" s="1"/>
      <c r="H434" s="136" t="s">
        <v>189</v>
      </c>
      <c r="I434" s="227" t="s">
        <v>235</v>
      </c>
      <c r="J434" s="208"/>
      <c r="K434" s="208"/>
      <c r="L434" s="208"/>
      <c r="M434" s="208"/>
      <c r="N434" s="208"/>
      <c r="O434" s="208"/>
      <c r="P434" s="208"/>
      <c r="Q434" s="208"/>
      <c r="R434" s="208"/>
      <c r="S434" s="208"/>
      <c r="T434" s="208"/>
      <c r="U434" s="208"/>
      <c r="V434" s="208"/>
      <c r="W434" s="209"/>
      <c r="X434" s="209"/>
      <c r="Y434" s="209"/>
      <c r="Z434" s="209"/>
      <c r="AA434" s="209"/>
      <c r="AB434" s="209"/>
      <c r="AC434" s="138"/>
      <c r="AD434" s="26"/>
      <c r="AE434" s="345" t="s">
        <v>161</v>
      </c>
      <c r="AF434" s="346"/>
      <c r="AG434" s="346"/>
      <c r="AH434" s="346"/>
      <c r="AI434" s="346"/>
      <c r="AJ434" s="346"/>
      <c r="AK434" s="346"/>
      <c r="AL434" s="346"/>
      <c r="AM434" s="346"/>
      <c r="AP434" s="9"/>
      <c r="AQ434" s="9"/>
      <c r="AR434" s="9"/>
      <c r="AS434" s="9"/>
      <c r="AT434" s="9"/>
      <c r="AU434" s="9"/>
      <c r="AV434" s="9"/>
      <c r="AW434" s="9"/>
      <c r="BC434" s="89"/>
    </row>
    <row r="435" spans="1:68" ht="12" x14ac:dyDescent="0.25">
      <c r="E435" s="1"/>
      <c r="H435" s="136" t="str">
        <f>+H434</f>
        <v>LEGENDA</v>
      </c>
      <c r="I435" s="89"/>
      <c r="W435" s="26"/>
      <c r="X435" s="26"/>
      <c r="Y435" s="26"/>
      <c r="Z435" s="26"/>
      <c r="AA435" s="26"/>
      <c r="AB435" s="26"/>
      <c r="AC435" s="4"/>
      <c r="AD435" s="26"/>
      <c r="AE435" s="345" t="s">
        <v>72</v>
      </c>
      <c r="AF435" s="346"/>
      <c r="AG435" s="346"/>
      <c r="AH435" s="346"/>
      <c r="AI435" s="346"/>
      <c r="AJ435" s="346"/>
      <c r="AK435" s="346"/>
      <c r="AL435" s="346"/>
      <c r="AM435" s="346"/>
      <c r="BC435" s="89"/>
    </row>
    <row r="436" spans="1:68" x14ac:dyDescent="0.25">
      <c r="E436" s="1"/>
      <c r="H436" s="136" t="str">
        <f t="shared" ref="H436:H455" si="182">+H435</f>
        <v>LEGENDA</v>
      </c>
      <c r="I436" s="104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W436" s="26"/>
      <c r="X436" s="26"/>
      <c r="Y436" s="26"/>
      <c r="Z436" s="26"/>
      <c r="AA436" s="26"/>
      <c r="AB436" s="26"/>
      <c r="AC436" s="4"/>
      <c r="AD436" s="26"/>
      <c r="AE436" s="347" t="s">
        <v>71</v>
      </c>
      <c r="AF436" s="348"/>
      <c r="AG436" s="348"/>
      <c r="AH436" s="348"/>
      <c r="AI436" s="348"/>
      <c r="AJ436" s="348"/>
      <c r="AK436" s="348"/>
      <c r="AL436" s="348"/>
      <c r="AM436" s="348"/>
      <c r="BC436" s="104"/>
      <c r="BE436" s="76"/>
      <c r="BF436" s="76"/>
      <c r="BG436" s="76"/>
      <c r="BH436" s="34"/>
      <c r="BI436" s="76"/>
      <c r="BJ436" s="76"/>
      <c r="BK436" s="76"/>
      <c r="BL436" s="76"/>
      <c r="BM436" s="76"/>
      <c r="BN436" s="76"/>
      <c r="BO436" s="76"/>
      <c r="BP436" s="76"/>
    </row>
    <row r="437" spans="1:68" ht="12.75" customHeight="1" x14ac:dyDescent="0.25">
      <c r="E437" s="1"/>
      <c r="H437" s="136" t="str">
        <f t="shared" si="182"/>
        <v>LEGENDA</v>
      </c>
      <c r="I437" s="9"/>
      <c r="W437" s="26"/>
      <c r="X437" s="26"/>
      <c r="Y437" s="26"/>
      <c r="Z437" s="26"/>
      <c r="AA437" s="26"/>
      <c r="AB437" s="26"/>
      <c r="AC437" s="4"/>
      <c r="AD437" s="26"/>
      <c r="AE437" s="349" t="s">
        <v>194</v>
      </c>
      <c r="AF437" s="350"/>
      <c r="AG437" s="350"/>
      <c r="AH437" s="350"/>
      <c r="AI437" s="350"/>
      <c r="AJ437" s="350"/>
      <c r="AK437" s="350"/>
      <c r="AL437" s="350"/>
      <c r="AM437" s="350"/>
      <c r="BC437" s="9"/>
    </row>
    <row r="438" spans="1:68" ht="22.5" customHeight="1" x14ac:dyDescent="0.25">
      <c r="E438" s="1"/>
      <c r="G438" s="105"/>
      <c r="H438" s="136" t="str">
        <f t="shared" si="182"/>
        <v>LEGENDA</v>
      </c>
      <c r="I438" s="9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W438" s="26"/>
      <c r="X438" s="26"/>
      <c r="Y438" s="26"/>
      <c r="Z438" s="26"/>
      <c r="AA438" s="26"/>
      <c r="AB438" s="26"/>
      <c r="AC438" s="4"/>
      <c r="AD438" s="26"/>
      <c r="AE438" s="349" t="s">
        <v>187</v>
      </c>
      <c r="AF438" s="350"/>
      <c r="AG438" s="350"/>
      <c r="AH438" s="350"/>
      <c r="AI438" s="350"/>
      <c r="AJ438" s="350"/>
      <c r="AK438" s="350"/>
      <c r="AL438" s="350"/>
      <c r="AM438" s="350"/>
      <c r="BC438" s="9"/>
      <c r="BE438" s="31"/>
      <c r="BF438" s="31"/>
      <c r="BG438" s="31"/>
      <c r="BH438" s="106"/>
      <c r="BI438" s="31"/>
      <c r="BJ438" s="31"/>
      <c r="BK438" s="31"/>
      <c r="BL438" s="31"/>
      <c r="BM438" s="31"/>
      <c r="BN438" s="31"/>
      <c r="BO438" s="31"/>
      <c r="BP438" s="31"/>
    </row>
    <row r="439" spans="1:68" ht="22.5" customHeight="1" x14ac:dyDescent="0.25">
      <c r="E439" s="1"/>
      <c r="G439" s="105"/>
      <c r="H439" s="136" t="str">
        <f t="shared" si="182"/>
        <v>LEGENDA</v>
      </c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W439" s="26"/>
      <c r="X439" s="26"/>
      <c r="Y439" s="26"/>
      <c r="Z439" s="26"/>
      <c r="AA439" s="26"/>
      <c r="AB439" s="26"/>
      <c r="AC439" s="4"/>
      <c r="AD439" s="26"/>
      <c r="AE439" s="349" t="s">
        <v>188</v>
      </c>
      <c r="AF439" s="350"/>
      <c r="AG439" s="350"/>
      <c r="AH439" s="350"/>
      <c r="AI439" s="350"/>
      <c r="AJ439" s="350"/>
      <c r="AK439" s="350"/>
      <c r="AL439" s="350"/>
      <c r="AM439" s="350"/>
      <c r="BE439" s="30"/>
      <c r="BF439" s="30"/>
      <c r="BG439" s="30"/>
      <c r="BH439" s="107"/>
      <c r="BI439" s="30"/>
      <c r="BJ439" s="30"/>
      <c r="BK439" s="30"/>
      <c r="BL439" s="30"/>
      <c r="BM439" s="30"/>
      <c r="BN439" s="30"/>
      <c r="BO439" s="30"/>
      <c r="BP439" s="30"/>
    </row>
    <row r="440" spans="1:68" ht="12.75" customHeight="1" x14ac:dyDescent="0.25">
      <c r="E440" s="1"/>
      <c r="G440" s="105"/>
      <c r="H440" s="136" t="str">
        <f t="shared" si="182"/>
        <v>LEGENDA</v>
      </c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W440" s="26"/>
      <c r="X440" s="26"/>
      <c r="Y440" s="26"/>
      <c r="Z440" s="26"/>
      <c r="AA440" s="26"/>
      <c r="AB440" s="26"/>
      <c r="AC440" s="4"/>
      <c r="AD440" s="26"/>
      <c r="AE440" s="349" t="s">
        <v>70</v>
      </c>
      <c r="AF440" s="350"/>
      <c r="AG440" s="350"/>
      <c r="AH440" s="350"/>
      <c r="AI440" s="350"/>
      <c r="AJ440" s="350"/>
      <c r="AK440" s="350"/>
      <c r="AL440" s="350"/>
      <c r="AM440" s="350"/>
      <c r="BE440" s="30"/>
      <c r="BF440" s="30"/>
      <c r="BG440" s="30"/>
      <c r="BH440" s="107"/>
      <c r="BI440" s="30"/>
      <c r="BJ440" s="30"/>
      <c r="BK440" s="30"/>
      <c r="BL440" s="30"/>
      <c r="BM440" s="30"/>
      <c r="BN440" s="30"/>
      <c r="BO440" s="30"/>
      <c r="BP440" s="30"/>
    </row>
    <row r="441" spans="1:68" x14ac:dyDescent="0.25">
      <c r="E441" s="1"/>
      <c r="G441" s="105"/>
      <c r="H441" s="136" t="str">
        <f t="shared" si="182"/>
        <v>LEGENDA</v>
      </c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W441" s="26"/>
      <c r="X441" s="26"/>
      <c r="Y441" s="26"/>
      <c r="Z441" s="26"/>
      <c r="AA441" s="26"/>
      <c r="AB441" s="26"/>
      <c r="AC441" s="4"/>
      <c r="AD441" s="26"/>
      <c r="AE441" s="349" t="s">
        <v>98</v>
      </c>
      <c r="AF441" s="350"/>
      <c r="AG441" s="350"/>
      <c r="AH441" s="350"/>
      <c r="AI441" s="350"/>
      <c r="AJ441" s="350"/>
      <c r="AK441" s="350"/>
      <c r="AL441" s="350"/>
      <c r="AM441" s="350"/>
      <c r="BE441" s="30"/>
      <c r="BF441" s="30"/>
      <c r="BG441" s="30"/>
      <c r="BH441" s="107"/>
      <c r="BI441" s="30"/>
      <c r="BJ441" s="30"/>
      <c r="BK441" s="30"/>
      <c r="BL441" s="30"/>
      <c r="BM441" s="30"/>
      <c r="BN441" s="30"/>
      <c r="BO441" s="30"/>
      <c r="BP441" s="30"/>
    </row>
    <row r="442" spans="1:68" x14ac:dyDescent="0.25">
      <c r="E442" s="1"/>
      <c r="G442" s="105"/>
      <c r="H442" s="136" t="str">
        <f t="shared" si="182"/>
        <v>LEGENDA</v>
      </c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W442" s="26"/>
      <c r="X442" s="26"/>
      <c r="Y442" s="26"/>
      <c r="Z442" s="26"/>
      <c r="AA442" s="26"/>
      <c r="AB442" s="26"/>
      <c r="AC442" s="4"/>
      <c r="AD442" s="26"/>
      <c r="AE442" s="347" t="s">
        <v>69</v>
      </c>
      <c r="AF442" s="348"/>
      <c r="AG442" s="348"/>
      <c r="AH442" s="348"/>
      <c r="AI442" s="348"/>
      <c r="AJ442" s="348"/>
      <c r="AK442" s="348"/>
      <c r="AL442" s="348"/>
      <c r="AM442" s="348"/>
      <c r="BE442" s="30"/>
      <c r="BF442" s="30"/>
      <c r="BG442" s="30"/>
      <c r="BH442" s="107"/>
      <c r="BI442" s="30"/>
      <c r="BJ442" s="30"/>
      <c r="BK442" s="30"/>
      <c r="BL442" s="30"/>
      <c r="BM442" s="30"/>
      <c r="BN442" s="30"/>
      <c r="BO442" s="30"/>
      <c r="BP442" s="30"/>
    </row>
    <row r="443" spans="1:68" x14ac:dyDescent="0.25">
      <c r="E443" s="1"/>
      <c r="G443" s="105"/>
      <c r="H443" s="136" t="str">
        <f t="shared" si="182"/>
        <v>LEGENDA</v>
      </c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W443" s="26"/>
      <c r="X443" s="26"/>
      <c r="Y443" s="26"/>
      <c r="Z443" s="26"/>
      <c r="AA443" s="26"/>
      <c r="AB443" s="26"/>
      <c r="AC443" s="4"/>
      <c r="AD443" s="26"/>
      <c r="AE443" s="347" t="s">
        <v>68</v>
      </c>
      <c r="AF443" s="348"/>
      <c r="AG443" s="348"/>
      <c r="AH443" s="348"/>
      <c r="AI443" s="348"/>
      <c r="AJ443" s="348"/>
      <c r="AK443" s="348"/>
      <c r="AL443" s="348"/>
      <c r="AM443" s="348"/>
      <c r="BE443" s="30"/>
      <c r="BF443" s="30"/>
      <c r="BG443" s="30"/>
      <c r="BH443" s="107"/>
      <c r="BI443" s="30"/>
      <c r="BJ443" s="30"/>
      <c r="BK443" s="30"/>
      <c r="BL443" s="30"/>
      <c r="BM443" s="30"/>
      <c r="BN443" s="30"/>
      <c r="BO443" s="30"/>
      <c r="BP443" s="30"/>
    </row>
    <row r="444" spans="1:68" ht="7.5" customHeight="1" x14ac:dyDescent="0.25">
      <c r="E444" s="1"/>
      <c r="G444" s="105"/>
      <c r="H444" s="136" t="str">
        <f t="shared" si="182"/>
        <v>LEGENDA</v>
      </c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W444" s="26"/>
      <c r="X444" s="26"/>
      <c r="Y444" s="26"/>
      <c r="Z444" s="26"/>
      <c r="AA444" s="26"/>
      <c r="AB444" s="26"/>
      <c r="AC444" s="4"/>
      <c r="AD444" s="26"/>
      <c r="AE444" s="206"/>
      <c r="AF444" s="206"/>
      <c r="AG444" s="206"/>
      <c r="AH444" s="207"/>
      <c r="AI444" s="207"/>
      <c r="AJ444" s="207"/>
      <c r="AK444" s="207"/>
      <c r="AL444" s="207"/>
      <c r="AM444" s="207"/>
      <c r="BE444" s="30"/>
      <c r="BF444" s="30"/>
      <c r="BG444" s="30"/>
      <c r="BH444" s="107"/>
      <c r="BI444" s="30"/>
      <c r="BJ444" s="30"/>
      <c r="BK444" s="30"/>
      <c r="BL444" s="30"/>
      <c r="BM444" s="30"/>
      <c r="BN444" s="30"/>
      <c r="BO444" s="30"/>
      <c r="BP444" s="30"/>
    </row>
    <row r="445" spans="1:68" x14ac:dyDescent="0.25">
      <c r="E445" s="1"/>
      <c r="G445" s="105"/>
      <c r="H445" s="136" t="str">
        <f t="shared" si="182"/>
        <v>LEGENDA</v>
      </c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W445" s="26"/>
      <c r="X445" s="26"/>
      <c r="Y445" s="26"/>
      <c r="Z445" s="26"/>
      <c r="AA445" s="26"/>
      <c r="AB445" s="26"/>
      <c r="AC445" s="4"/>
      <c r="AD445" s="26"/>
      <c r="AE445" s="351" t="s">
        <v>179</v>
      </c>
      <c r="AF445" s="352"/>
      <c r="AG445" s="352"/>
      <c r="AH445" s="352"/>
      <c r="AI445" s="352"/>
      <c r="AJ445" s="352"/>
      <c r="AK445" s="352"/>
      <c r="AL445" s="352"/>
      <c r="AM445" s="352"/>
      <c r="BE445" s="30"/>
      <c r="BF445" s="30"/>
      <c r="BG445" s="30"/>
      <c r="BH445" s="107"/>
      <c r="BI445" s="30"/>
      <c r="BJ445" s="30"/>
      <c r="BK445" s="30"/>
      <c r="BL445" s="30"/>
      <c r="BM445" s="30"/>
      <c r="BN445" s="30"/>
      <c r="BO445" s="30"/>
      <c r="BP445" s="30"/>
    </row>
    <row r="446" spans="1:68" ht="12" x14ac:dyDescent="0.25">
      <c r="E446" s="1"/>
      <c r="H446" s="136" t="str">
        <f t="shared" si="182"/>
        <v>LEGENDA</v>
      </c>
      <c r="I446" s="9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W446" s="26"/>
      <c r="X446" s="26"/>
      <c r="Y446" s="26"/>
      <c r="Z446" s="26"/>
      <c r="AA446" s="26"/>
      <c r="AB446" s="26"/>
      <c r="AC446" s="4"/>
      <c r="AD446" s="26"/>
      <c r="AE446" s="343" t="s">
        <v>180</v>
      </c>
      <c r="AF446" s="344"/>
      <c r="AG446" s="344"/>
      <c r="AH446" s="344"/>
      <c r="AI446" s="344"/>
      <c r="AJ446" s="344"/>
      <c r="AK446" s="344"/>
      <c r="AL446" s="344"/>
      <c r="AM446" s="344"/>
      <c r="BC446" s="9"/>
      <c r="BE446" s="31"/>
      <c r="BF446" s="31"/>
      <c r="BG446" s="31"/>
      <c r="BH446" s="106"/>
      <c r="BI446" s="31"/>
      <c r="BJ446" s="31"/>
      <c r="BK446" s="31"/>
      <c r="BL446" s="31"/>
      <c r="BM446" s="31"/>
      <c r="BN446" s="31"/>
      <c r="BO446" s="31"/>
      <c r="BP446" s="31"/>
    </row>
    <row r="447" spans="1:68" ht="12" x14ac:dyDescent="0.25">
      <c r="E447" s="1"/>
      <c r="H447" s="136" t="str">
        <f t="shared" si="182"/>
        <v>LEGENDA</v>
      </c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W447" s="26"/>
      <c r="X447" s="26"/>
      <c r="Y447" s="26"/>
      <c r="Z447" s="26"/>
      <c r="AA447" s="26"/>
      <c r="AB447" s="26"/>
      <c r="AC447" s="4"/>
      <c r="AD447" s="26"/>
      <c r="AE447" s="355" t="s">
        <v>181</v>
      </c>
      <c r="AF447" s="356"/>
      <c r="AG447" s="356"/>
      <c r="AH447" s="356"/>
      <c r="AI447" s="356"/>
      <c r="AJ447" s="356"/>
      <c r="AK447" s="356"/>
      <c r="AL447" s="356"/>
      <c r="AM447" s="356"/>
      <c r="BE447" s="30"/>
      <c r="BF447" s="30"/>
      <c r="BG447" s="30"/>
      <c r="BH447" s="107"/>
      <c r="BI447" s="30"/>
      <c r="BJ447" s="30"/>
      <c r="BK447" s="30"/>
      <c r="BL447" s="30"/>
      <c r="BM447" s="30"/>
      <c r="BN447" s="30"/>
      <c r="BO447" s="30"/>
      <c r="BP447" s="30"/>
    </row>
    <row r="448" spans="1:68" ht="12" x14ac:dyDescent="0.25">
      <c r="E448" s="1"/>
      <c r="H448" s="136" t="str">
        <f t="shared" si="182"/>
        <v>LEGENDA</v>
      </c>
      <c r="I448" s="9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W448" s="26"/>
      <c r="X448" s="26"/>
      <c r="Y448" s="26"/>
      <c r="Z448" s="26"/>
      <c r="AA448" s="26"/>
      <c r="AB448" s="26"/>
      <c r="AC448" s="4"/>
      <c r="AD448" s="26"/>
      <c r="AE448" s="355" t="s">
        <v>182</v>
      </c>
      <c r="AF448" s="356"/>
      <c r="AG448" s="356"/>
      <c r="AH448" s="356"/>
      <c r="AI448" s="356"/>
      <c r="AJ448" s="356"/>
      <c r="AK448" s="356"/>
      <c r="AL448" s="356"/>
      <c r="AM448" s="356"/>
      <c r="BC448" s="9"/>
      <c r="BE448" s="31"/>
      <c r="BF448" s="31"/>
      <c r="BG448" s="31"/>
      <c r="BH448" s="106"/>
      <c r="BI448" s="31"/>
      <c r="BJ448" s="31"/>
      <c r="BK448" s="31"/>
      <c r="BL448" s="31"/>
      <c r="BM448" s="31"/>
      <c r="BN448" s="31"/>
      <c r="BO448" s="31"/>
      <c r="BP448" s="31"/>
    </row>
    <row r="449" spans="5:68" ht="12" x14ac:dyDescent="0.25">
      <c r="E449" s="1"/>
      <c r="H449" s="136" t="str">
        <f t="shared" si="182"/>
        <v>LEGENDA</v>
      </c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W449" s="26"/>
      <c r="X449" s="26"/>
      <c r="Y449" s="26"/>
      <c r="Z449" s="26"/>
      <c r="AA449" s="26"/>
      <c r="AB449" s="26"/>
      <c r="AC449" s="4"/>
      <c r="AD449" s="26"/>
      <c r="AE449" s="355" t="s">
        <v>183</v>
      </c>
      <c r="AF449" s="356"/>
      <c r="AG449" s="356"/>
      <c r="AH449" s="356"/>
      <c r="AI449" s="356"/>
      <c r="AJ449" s="356"/>
      <c r="AK449" s="356"/>
      <c r="AL449" s="356"/>
      <c r="AM449" s="356"/>
      <c r="BE449" s="30"/>
      <c r="BF449" s="30"/>
      <c r="BG449" s="30"/>
      <c r="BH449" s="107"/>
      <c r="BI449" s="30"/>
      <c r="BJ449" s="30"/>
      <c r="BK449" s="30"/>
      <c r="BL449" s="30"/>
      <c r="BM449" s="30"/>
      <c r="BN449" s="30"/>
      <c r="BO449" s="30"/>
      <c r="BP449" s="30"/>
    </row>
    <row r="450" spans="5:68" ht="12" x14ac:dyDescent="0.25">
      <c r="E450" s="1"/>
      <c r="H450" s="136" t="str">
        <f t="shared" si="182"/>
        <v>LEGENDA</v>
      </c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W450" s="26"/>
      <c r="X450" s="26"/>
      <c r="Y450" s="26"/>
      <c r="Z450" s="26"/>
      <c r="AA450" s="26"/>
      <c r="AB450" s="26"/>
      <c r="AC450" s="4"/>
      <c r="AD450" s="26"/>
      <c r="AE450" s="355" t="s">
        <v>184</v>
      </c>
      <c r="AF450" s="356"/>
      <c r="AG450" s="356"/>
      <c r="AH450" s="356"/>
      <c r="AI450" s="356"/>
      <c r="AJ450" s="356"/>
      <c r="AK450" s="356"/>
      <c r="AL450" s="356"/>
      <c r="AM450" s="356"/>
      <c r="BE450" s="30"/>
      <c r="BF450" s="30"/>
      <c r="BG450" s="30"/>
      <c r="BH450" s="107"/>
      <c r="BI450" s="30"/>
      <c r="BJ450" s="30"/>
      <c r="BK450" s="30"/>
      <c r="BL450" s="30"/>
      <c r="BM450" s="30"/>
      <c r="BN450" s="30"/>
      <c r="BO450" s="30"/>
      <c r="BP450" s="30"/>
    </row>
    <row r="451" spans="5:68" ht="12" x14ac:dyDescent="0.25">
      <c r="E451" s="1"/>
      <c r="H451" s="136" t="str">
        <f t="shared" si="182"/>
        <v>LEGENDA</v>
      </c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W451" s="26"/>
      <c r="X451" s="26"/>
      <c r="Y451" s="26"/>
      <c r="Z451" s="26"/>
      <c r="AA451" s="26"/>
      <c r="AB451" s="26"/>
      <c r="AC451" s="4"/>
      <c r="AD451" s="26"/>
      <c r="AE451" s="343" t="s">
        <v>186</v>
      </c>
      <c r="AF451" s="344"/>
      <c r="AG451" s="344"/>
      <c r="AH451" s="344"/>
      <c r="AI451" s="344"/>
      <c r="AJ451" s="344"/>
      <c r="AK451" s="344"/>
      <c r="AL451" s="344"/>
      <c r="AM451" s="344"/>
      <c r="BE451" s="30"/>
      <c r="BF451" s="30"/>
      <c r="BG451" s="30"/>
      <c r="BH451" s="107"/>
      <c r="BI451" s="30"/>
      <c r="BJ451" s="30"/>
      <c r="BK451" s="30"/>
      <c r="BL451" s="30"/>
      <c r="BM451" s="30"/>
      <c r="BN451" s="30"/>
      <c r="BO451" s="30"/>
      <c r="BP451" s="30"/>
    </row>
    <row r="452" spans="5:68" ht="12" x14ac:dyDescent="0.25">
      <c r="E452" s="1"/>
      <c r="H452" s="136" t="str">
        <f t="shared" si="182"/>
        <v>LEGENDA</v>
      </c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W452" s="26"/>
      <c r="X452" s="26"/>
      <c r="Y452" s="26"/>
      <c r="Z452" s="26"/>
      <c r="AA452" s="26"/>
      <c r="AB452" s="26"/>
      <c r="AC452" s="4"/>
      <c r="AD452" s="26"/>
      <c r="AE452" s="355" t="s">
        <v>196</v>
      </c>
      <c r="AF452" s="356"/>
      <c r="AG452" s="356"/>
      <c r="AH452" s="356"/>
      <c r="AI452" s="356"/>
      <c r="AJ452" s="356"/>
      <c r="AK452" s="356"/>
      <c r="AL452" s="356"/>
      <c r="AM452" s="356"/>
      <c r="BE452" s="30"/>
      <c r="BF452" s="30"/>
      <c r="BG452" s="30"/>
      <c r="BH452" s="107"/>
      <c r="BI452" s="30"/>
      <c r="BJ452" s="30"/>
      <c r="BK452" s="30"/>
      <c r="BL452" s="30"/>
      <c r="BM452" s="30"/>
      <c r="BN452" s="30"/>
      <c r="BO452" s="30"/>
      <c r="BP452" s="30"/>
    </row>
    <row r="453" spans="5:68" ht="12" x14ac:dyDescent="0.25">
      <c r="E453" s="1"/>
      <c r="G453" s="33"/>
      <c r="H453" s="136" t="str">
        <f t="shared" si="182"/>
        <v>LEGENDA</v>
      </c>
      <c r="I453" s="16"/>
      <c r="J453" s="19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W453" s="26"/>
      <c r="X453" s="26"/>
      <c r="Y453" s="26"/>
      <c r="Z453" s="26"/>
      <c r="AA453" s="26"/>
      <c r="AB453" s="26"/>
      <c r="AC453" s="4"/>
      <c r="AD453" s="26"/>
      <c r="AE453" s="343" t="s">
        <v>193</v>
      </c>
      <c r="AF453" s="344"/>
      <c r="AG453" s="344"/>
      <c r="AH453" s="344"/>
      <c r="AI453" s="344"/>
      <c r="AJ453" s="344"/>
      <c r="AK453" s="344"/>
      <c r="AL453" s="344"/>
      <c r="AM453" s="344"/>
      <c r="BC453" s="16"/>
      <c r="BD453" s="19"/>
      <c r="BE453" s="32"/>
      <c r="BF453" s="32"/>
      <c r="BG453" s="32"/>
      <c r="BH453" s="108"/>
      <c r="BI453" s="32"/>
      <c r="BJ453" s="32"/>
      <c r="BK453" s="32"/>
      <c r="BL453" s="32"/>
      <c r="BM453" s="32"/>
      <c r="BN453" s="32"/>
      <c r="BO453" s="32"/>
      <c r="BP453" s="32"/>
    </row>
    <row r="454" spans="5:68" ht="12" x14ac:dyDescent="0.25">
      <c r="E454" s="1"/>
      <c r="G454" s="33"/>
      <c r="H454" s="136" t="str">
        <f t="shared" si="182"/>
        <v>LEGENDA</v>
      </c>
      <c r="I454" s="16"/>
      <c r="J454" s="19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W454" s="26"/>
      <c r="X454" s="26"/>
      <c r="Y454" s="26"/>
      <c r="Z454" s="26"/>
      <c r="AA454" s="26"/>
      <c r="AB454" s="26"/>
      <c r="AC454" s="4"/>
      <c r="AD454" s="26"/>
      <c r="AE454" s="355" t="s">
        <v>192</v>
      </c>
      <c r="AF454" s="356"/>
      <c r="AG454" s="356"/>
      <c r="AH454" s="356"/>
      <c r="AI454" s="356"/>
      <c r="AJ454" s="356"/>
      <c r="AK454" s="356"/>
      <c r="AL454" s="356"/>
      <c r="AM454" s="356"/>
      <c r="BC454" s="16"/>
      <c r="BD454" s="19"/>
      <c r="BE454" s="32"/>
      <c r="BF454" s="32"/>
      <c r="BG454" s="32"/>
      <c r="BH454" s="108"/>
      <c r="BI454" s="32"/>
      <c r="BJ454" s="32"/>
      <c r="BK454" s="32"/>
      <c r="BL454" s="32"/>
      <c r="BM454" s="32"/>
      <c r="BN454" s="32"/>
      <c r="BO454" s="32"/>
      <c r="BP454" s="32"/>
    </row>
    <row r="455" spans="5:68" x14ac:dyDescent="0.25">
      <c r="E455" s="1"/>
      <c r="G455" s="10"/>
      <c r="H455" s="136" t="str">
        <f t="shared" si="182"/>
        <v>LEGENDA</v>
      </c>
      <c r="I455" s="9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W455" s="26"/>
      <c r="X455" s="26"/>
      <c r="Y455" s="26"/>
      <c r="Z455" s="26"/>
      <c r="AA455" s="26"/>
      <c r="AB455" s="26"/>
      <c r="AC455" s="4"/>
      <c r="AD455" s="26"/>
      <c r="AE455" s="353"/>
      <c r="AF455" s="354"/>
      <c r="AG455" s="193"/>
      <c r="BC455" s="9"/>
      <c r="BE455" s="31"/>
      <c r="BF455" s="31"/>
      <c r="BG455" s="31"/>
      <c r="BH455" s="108"/>
      <c r="BI455" s="31"/>
      <c r="BJ455" s="31"/>
      <c r="BK455" s="31"/>
      <c r="BL455" s="31"/>
      <c r="BM455" s="31"/>
      <c r="BN455" s="31"/>
      <c r="BO455" s="31"/>
      <c r="BP455" s="31"/>
    </row>
    <row r="456" spans="5:68" x14ac:dyDescent="0.25">
      <c r="E456" s="1"/>
      <c r="H456" s="211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W456" s="26"/>
      <c r="X456" s="26"/>
      <c r="Y456" s="26"/>
      <c r="Z456" s="26"/>
      <c r="AA456" s="26"/>
      <c r="AB456" s="26"/>
      <c r="AC456" s="4"/>
      <c r="AD456" s="26"/>
      <c r="AE456" s="353"/>
      <c r="AF456" s="354"/>
      <c r="AG456" s="193"/>
      <c r="BE456" s="30"/>
      <c r="BF456" s="30"/>
      <c r="BG456" s="30"/>
      <c r="BH456" s="107"/>
      <c r="BI456" s="30"/>
      <c r="BJ456" s="30"/>
      <c r="BK456" s="30"/>
      <c r="BL456" s="30"/>
      <c r="BM456" s="30"/>
      <c r="BN456" s="30"/>
      <c r="BO456" s="30"/>
      <c r="BP456" s="30"/>
    </row>
    <row r="457" spans="5:68" x14ac:dyDescent="0.25">
      <c r="E457" s="1"/>
      <c r="H457" s="109"/>
      <c r="I457" s="9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W457" s="26"/>
      <c r="X457" s="26"/>
      <c r="Y457" s="26"/>
      <c r="Z457" s="26"/>
      <c r="AA457" s="26"/>
      <c r="AB457" s="26"/>
      <c r="AC457" s="4"/>
      <c r="AD457" s="26"/>
      <c r="AE457" s="353"/>
      <c r="AF457" s="354"/>
      <c r="AG457" s="193"/>
      <c r="BC457" s="9"/>
      <c r="BE457" s="30"/>
      <c r="BF457" s="30"/>
      <c r="BG457" s="30"/>
      <c r="BH457" s="107"/>
      <c r="BI457" s="30"/>
      <c r="BJ457" s="30"/>
      <c r="BK457" s="30"/>
      <c r="BL457" s="30"/>
      <c r="BM457" s="30"/>
      <c r="BN457" s="30"/>
      <c r="BO457" s="30"/>
      <c r="BP457" s="30"/>
    </row>
    <row r="458" spans="5:68" x14ac:dyDescent="0.25">
      <c r="E458" s="1"/>
      <c r="H458" s="109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W458" s="26"/>
      <c r="X458" s="26"/>
      <c r="Y458" s="26"/>
      <c r="Z458" s="26"/>
      <c r="AA458" s="26"/>
      <c r="AB458" s="26"/>
      <c r="AC458" s="4"/>
      <c r="AD458" s="26"/>
      <c r="AE458" s="353"/>
      <c r="AF458" s="354"/>
      <c r="AG458" s="193"/>
      <c r="BE458" s="30"/>
      <c r="BF458" s="30"/>
      <c r="BG458" s="30"/>
      <c r="BH458" s="107"/>
      <c r="BI458" s="30"/>
      <c r="BJ458" s="30"/>
      <c r="BK458" s="30"/>
      <c r="BL458" s="30"/>
      <c r="BM458" s="30"/>
      <c r="BN458" s="30"/>
      <c r="BO458" s="30"/>
      <c r="BP458" s="30"/>
    </row>
    <row r="459" spans="5:68" x14ac:dyDescent="0.25">
      <c r="E459" s="1"/>
      <c r="H459" s="109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W459" s="26"/>
      <c r="X459" s="26"/>
      <c r="Y459" s="26"/>
      <c r="Z459" s="26"/>
      <c r="AA459" s="26"/>
      <c r="AB459" s="26"/>
      <c r="AC459" s="4"/>
      <c r="AD459" s="26"/>
      <c r="AE459" s="353"/>
      <c r="AF459" s="354"/>
      <c r="AG459" s="193"/>
      <c r="BE459" s="30"/>
      <c r="BF459" s="30"/>
      <c r="BG459" s="30"/>
      <c r="BH459" s="107"/>
      <c r="BI459" s="30"/>
      <c r="BJ459" s="30"/>
      <c r="BK459" s="30"/>
      <c r="BL459" s="30"/>
      <c r="BM459" s="30"/>
      <c r="BN459" s="30"/>
      <c r="BO459" s="30"/>
      <c r="BP459" s="30"/>
    </row>
    <row r="460" spans="5:68" x14ac:dyDescent="0.25">
      <c r="E460" s="1"/>
      <c r="H460" s="109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W460" s="26"/>
      <c r="X460" s="26"/>
      <c r="Y460" s="26"/>
      <c r="Z460" s="26"/>
      <c r="AA460" s="26"/>
      <c r="AB460" s="26"/>
      <c r="AC460" s="4"/>
      <c r="AD460" s="26"/>
      <c r="AE460" s="353"/>
      <c r="AF460" s="354"/>
      <c r="AG460" s="193"/>
      <c r="BE460" s="30"/>
      <c r="BF460" s="30"/>
      <c r="BG460" s="30"/>
      <c r="BH460" s="107"/>
      <c r="BI460" s="30"/>
      <c r="BJ460" s="30"/>
      <c r="BK460" s="30"/>
      <c r="BL460" s="30"/>
      <c r="BM460" s="30"/>
      <c r="BN460" s="30"/>
      <c r="BO460" s="30"/>
      <c r="BP460" s="30"/>
    </row>
    <row r="461" spans="5:68" x14ac:dyDescent="0.25">
      <c r="E461" s="1"/>
      <c r="H461" s="109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W461" s="26"/>
      <c r="X461" s="26"/>
      <c r="Y461" s="26"/>
      <c r="Z461" s="26"/>
      <c r="AA461" s="26"/>
      <c r="AB461" s="26"/>
      <c r="AC461" s="4"/>
      <c r="AD461" s="26"/>
      <c r="AE461" s="353"/>
      <c r="AF461" s="354"/>
      <c r="AG461" s="193"/>
      <c r="BE461" s="30"/>
      <c r="BF461" s="30"/>
      <c r="BG461" s="30"/>
      <c r="BH461" s="107"/>
      <c r="BI461" s="30"/>
      <c r="BJ461" s="30"/>
      <c r="BK461" s="30"/>
      <c r="BL461" s="30"/>
      <c r="BM461" s="30"/>
      <c r="BN461" s="30"/>
      <c r="BO461" s="30"/>
      <c r="BP461" s="30"/>
    </row>
    <row r="462" spans="5:68" x14ac:dyDescent="0.25">
      <c r="E462" s="1"/>
      <c r="G462" s="10"/>
      <c r="H462" s="109"/>
      <c r="I462" s="9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W462" s="26"/>
      <c r="X462" s="26"/>
      <c r="Y462" s="26"/>
      <c r="Z462" s="26"/>
      <c r="AA462" s="26"/>
      <c r="AB462" s="26"/>
      <c r="AC462" s="4"/>
      <c r="AD462" s="26"/>
      <c r="AE462" s="353"/>
      <c r="AF462" s="354"/>
      <c r="AG462" s="193"/>
      <c r="BC462" s="9"/>
      <c r="BE462" s="31"/>
      <c r="BF462" s="31"/>
      <c r="BG462" s="31"/>
      <c r="BH462" s="106"/>
      <c r="BI462" s="31"/>
      <c r="BJ462" s="31"/>
      <c r="BK462" s="31"/>
      <c r="BL462" s="31"/>
      <c r="BM462" s="31"/>
      <c r="BN462" s="31"/>
      <c r="BO462" s="31"/>
      <c r="BP462" s="31"/>
    </row>
    <row r="463" spans="5:68" x14ac:dyDescent="0.25">
      <c r="E463" s="1"/>
      <c r="H463" s="109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W463" s="26"/>
      <c r="X463" s="26"/>
      <c r="Y463" s="26"/>
      <c r="Z463" s="26"/>
      <c r="AA463" s="26"/>
      <c r="AB463" s="26"/>
      <c r="AC463" s="4"/>
      <c r="AD463" s="26"/>
      <c r="AE463" s="353"/>
      <c r="AF463" s="354"/>
      <c r="AG463" s="193"/>
      <c r="BE463" s="30"/>
      <c r="BF463" s="30"/>
      <c r="BG463" s="30"/>
      <c r="BH463" s="107"/>
      <c r="BI463" s="30"/>
      <c r="BJ463" s="30"/>
      <c r="BK463" s="30"/>
      <c r="BL463" s="30"/>
      <c r="BM463" s="30"/>
      <c r="BN463" s="30"/>
      <c r="BO463" s="30"/>
      <c r="BP463" s="30"/>
    </row>
    <row r="464" spans="5:68" x14ac:dyDescent="0.25">
      <c r="E464" s="1"/>
      <c r="G464" s="10"/>
      <c r="H464" s="109"/>
      <c r="I464" s="9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W464" s="26"/>
      <c r="X464" s="26"/>
      <c r="Y464" s="26"/>
      <c r="Z464" s="26"/>
      <c r="AA464" s="26"/>
      <c r="AB464" s="26"/>
      <c r="AC464" s="4"/>
      <c r="AD464" s="26"/>
      <c r="AE464" s="353"/>
      <c r="AF464" s="354"/>
      <c r="AG464" s="193"/>
      <c r="BC464" s="9"/>
      <c r="BE464" s="31"/>
      <c r="BF464" s="31"/>
      <c r="BG464" s="31"/>
      <c r="BH464" s="106"/>
      <c r="BI464" s="31"/>
      <c r="BJ464" s="31"/>
      <c r="BK464" s="31"/>
      <c r="BL464" s="31"/>
      <c r="BM464" s="31"/>
      <c r="BN464" s="31"/>
      <c r="BO464" s="31"/>
      <c r="BP464" s="31"/>
    </row>
    <row r="465" spans="5:68" x14ac:dyDescent="0.25">
      <c r="E465" s="1"/>
      <c r="H465" s="109"/>
      <c r="J465" s="19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W465" s="26"/>
      <c r="X465" s="26"/>
      <c r="Y465" s="26"/>
      <c r="Z465" s="26"/>
      <c r="AA465" s="26"/>
      <c r="AB465" s="26"/>
      <c r="AC465" s="4"/>
      <c r="AD465" s="26"/>
      <c r="AE465" s="353"/>
      <c r="AF465" s="354"/>
      <c r="AG465" s="193"/>
      <c r="BD465" s="19"/>
      <c r="BE465" s="30"/>
      <c r="BF465" s="30"/>
      <c r="BG465" s="30"/>
      <c r="BH465" s="107"/>
      <c r="BI465" s="30"/>
      <c r="BJ465" s="30"/>
      <c r="BK465" s="30"/>
      <c r="BL465" s="30"/>
      <c r="BM465" s="30"/>
      <c r="BN465" s="30"/>
      <c r="BO465" s="30"/>
      <c r="BP465" s="30"/>
    </row>
    <row r="466" spans="5:68" x14ac:dyDescent="0.25">
      <c r="E466" s="1"/>
      <c r="H466" s="109"/>
      <c r="W466" s="26"/>
      <c r="X466" s="26"/>
      <c r="Y466" s="26"/>
      <c r="Z466" s="26"/>
      <c r="AA466" s="26"/>
      <c r="AB466" s="26"/>
      <c r="AC466" s="4"/>
      <c r="AD466" s="26"/>
      <c r="AE466" s="353"/>
      <c r="AF466" s="354"/>
      <c r="AG466" s="193"/>
    </row>
    <row r="467" spans="5:68" x14ac:dyDescent="0.25">
      <c r="E467" s="1"/>
      <c r="H467" s="109"/>
      <c r="AC467" s="4"/>
      <c r="AE467" s="353"/>
      <c r="AF467" s="354"/>
    </row>
    <row r="468" spans="5:68" x14ac:dyDescent="0.25">
      <c r="E468" s="1"/>
      <c r="H468" s="109"/>
      <c r="AC468" s="4"/>
      <c r="AE468" s="353"/>
      <c r="AF468" s="354"/>
    </row>
    <row r="469" spans="5:68" x14ac:dyDescent="0.25">
      <c r="E469" s="1"/>
      <c r="H469" s="109"/>
      <c r="K469" s="76"/>
      <c r="L469" s="76"/>
      <c r="S469" s="76"/>
      <c r="T469" s="76"/>
      <c r="AC469" s="4"/>
      <c r="AE469" s="353"/>
      <c r="AF469" s="354"/>
      <c r="BE469" s="76"/>
      <c r="BF469" s="76"/>
      <c r="BG469" s="76"/>
      <c r="BO469" s="76"/>
      <c r="BP469" s="76"/>
    </row>
    <row r="470" spans="5:68" x14ac:dyDescent="0.25">
      <c r="E470" s="1"/>
      <c r="H470" s="109"/>
      <c r="AE470" s="353"/>
      <c r="AF470" s="354"/>
    </row>
    <row r="471" spans="5:68" x14ac:dyDescent="0.25">
      <c r="E471" s="1"/>
      <c r="H471" s="109"/>
      <c r="AE471" s="353"/>
      <c r="AF471" s="354"/>
    </row>
    <row r="472" spans="5:68" x14ac:dyDescent="0.25">
      <c r="E472" s="1"/>
      <c r="H472" s="109"/>
      <c r="AE472" s="353"/>
      <c r="AF472" s="354"/>
    </row>
    <row r="473" spans="5:68" x14ac:dyDescent="0.25">
      <c r="E473" s="1"/>
      <c r="H473" s="109"/>
      <c r="AE473" s="353"/>
      <c r="AF473" s="354"/>
    </row>
    <row r="474" spans="5:68" x14ac:dyDescent="0.25">
      <c r="E474" s="1"/>
      <c r="H474" s="109"/>
      <c r="AE474" s="353"/>
      <c r="AF474" s="354"/>
    </row>
    <row r="475" spans="5:68" x14ac:dyDescent="0.25">
      <c r="E475" s="1"/>
      <c r="H475" s="109"/>
      <c r="AE475" s="353"/>
      <c r="AF475" s="354"/>
    </row>
    <row r="476" spans="5:68" x14ac:dyDescent="0.25">
      <c r="H476" s="109"/>
    </row>
  </sheetData>
  <autoFilter ref="H53:H476" xr:uid="{00000000-0009-0000-0000-000002000000}"/>
  <mergeCells count="71">
    <mergeCell ref="AE471:AF471"/>
    <mergeCell ref="AE472:AF472"/>
    <mergeCell ref="AE473:AF473"/>
    <mergeCell ref="AE474:AF474"/>
    <mergeCell ref="AE475:AF475"/>
    <mergeCell ref="AE470:AF470"/>
    <mergeCell ref="AE459:AF459"/>
    <mergeCell ref="AE460:AF460"/>
    <mergeCell ref="AE461:AF461"/>
    <mergeCell ref="AE462:AF462"/>
    <mergeCell ref="AE463:AF463"/>
    <mergeCell ref="AE464:AF464"/>
    <mergeCell ref="AE465:AF465"/>
    <mergeCell ref="AE466:AF466"/>
    <mergeCell ref="AE467:AF467"/>
    <mergeCell ref="AE468:AF468"/>
    <mergeCell ref="AE469:AF469"/>
    <mergeCell ref="AE458:AF458"/>
    <mergeCell ref="AE447:AM447"/>
    <mergeCell ref="AE448:AM448"/>
    <mergeCell ref="AE449:AM449"/>
    <mergeCell ref="AE450:AM450"/>
    <mergeCell ref="AE451:AM451"/>
    <mergeCell ref="AE452:AM452"/>
    <mergeCell ref="AE453:AM453"/>
    <mergeCell ref="AE454:AM454"/>
    <mergeCell ref="AE455:AF455"/>
    <mergeCell ref="AE456:AF456"/>
    <mergeCell ref="AE457:AF457"/>
    <mergeCell ref="AE446:AM446"/>
    <mergeCell ref="AE434:AM434"/>
    <mergeCell ref="AE435:AM435"/>
    <mergeCell ref="AE436:AM436"/>
    <mergeCell ref="AE437:AM437"/>
    <mergeCell ref="AE438:AM438"/>
    <mergeCell ref="AE439:AM439"/>
    <mergeCell ref="AE440:AM440"/>
    <mergeCell ref="AE441:AM441"/>
    <mergeCell ref="AE442:AM442"/>
    <mergeCell ref="AE443:AM443"/>
    <mergeCell ref="AE445:AM445"/>
    <mergeCell ref="AE432:AM432"/>
    <mergeCell ref="M284:M285"/>
    <mergeCell ref="AE302:AM302"/>
    <mergeCell ref="AE318:AM318"/>
    <mergeCell ref="M322:M323"/>
    <mergeCell ref="AE340:AM340"/>
    <mergeCell ref="AE356:AM356"/>
    <mergeCell ref="M360:M361"/>
    <mergeCell ref="AE378:AM378"/>
    <mergeCell ref="AE394:AM394"/>
    <mergeCell ref="M398:M399"/>
    <mergeCell ref="AE415:AM415"/>
    <mergeCell ref="AE280:AM280"/>
    <mergeCell ref="M132:M133"/>
    <mergeCell ref="AE150:AM150"/>
    <mergeCell ref="AE166:AM166"/>
    <mergeCell ref="M170:M171"/>
    <mergeCell ref="AE188:AM188"/>
    <mergeCell ref="AE204:AM204"/>
    <mergeCell ref="M208:M209"/>
    <mergeCell ref="AE226:AM226"/>
    <mergeCell ref="AE242:AM242"/>
    <mergeCell ref="M246:M247"/>
    <mergeCell ref="AE264:AM264"/>
    <mergeCell ref="AE128:AM128"/>
    <mergeCell ref="M56:M57"/>
    <mergeCell ref="AE74:AM74"/>
    <mergeCell ref="AE90:AM90"/>
    <mergeCell ref="M94:M95"/>
    <mergeCell ref="AE112:AM112"/>
  </mergeCells>
  <conditionalFormatting sqref="K3:L10">
    <cfRule type="cellIs" dxfId="59" priority="49" operator="notEqual">
      <formula>0</formula>
    </cfRule>
  </conditionalFormatting>
  <conditionalFormatting sqref="K1:AM2">
    <cfRule type="cellIs" dxfId="58" priority="54" stopIfTrue="1" operator="lessThan">
      <formula>-0.0001</formula>
    </cfRule>
    <cfRule type="cellIs" dxfId="57" priority="53" stopIfTrue="1" operator="greaterThan">
      <formula>0.0001</formula>
    </cfRule>
  </conditionalFormatting>
  <conditionalFormatting sqref="K11:AN13">
    <cfRule type="cellIs" dxfId="56" priority="51" stopIfTrue="1" operator="lessThan">
      <formula>-0.0001</formula>
    </cfRule>
    <cfRule type="cellIs" dxfId="55" priority="50" stopIfTrue="1" operator="greaterThan">
      <formula>0.0001</formula>
    </cfRule>
  </conditionalFormatting>
  <conditionalFormatting sqref="M91:N91">
    <cfRule type="cellIs" dxfId="54" priority="67" stopIfTrue="1" operator="notEqual">
      <formula>0</formula>
    </cfRule>
  </conditionalFormatting>
  <conditionalFormatting sqref="M129:N129">
    <cfRule type="cellIs" dxfId="53" priority="9" stopIfTrue="1" operator="notEqual">
      <formula>0</formula>
    </cfRule>
  </conditionalFormatting>
  <conditionalFormatting sqref="M167:N167">
    <cfRule type="cellIs" dxfId="52" priority="8" stopIfTrue="1" operator="notEqual">
      <formula>0</formula>
    </cfRule>
  </conditionalFormatting>
  <conditionalFormatting sqref="M205:N205">
    <cfRule type="cellIs" dxfId="51" priority="7" stopIfTrue="1" operator="notEqual">
      <formula>0</formula>
    </cfRule>
  </conditionalFormatting>
  <conditionalFormatting sqref="M243:N243">
    <cfRule type="cellIs" dxfId="50" priority="6" stopIfTrue="1" operator="notEqual">
      <formula>0</formula>
    </cfRule>
  </conditionalFormatting>
  <conditionalFormatting sqref="M281:N281">
    <cfRule type="cellIs" dxfId="49" priority="5" stopIfTrue="1" operator="notEqual">
      <formula>0</formula>
    </cfRule>
  </conditionalFormatting>
  <conditionalFormatting sqref="M319:N319">
    <cfRule type="cellIs" dxfId="48" priority="4" stopIfTrue="1" operator="notEqual">
      <formula>0</formula>
    </cfRule>
  </conditionalFormatting>
  <conditionalFormatting sqref="M357:N357">
    <cfRule type="cellIs" dxfId="47" priority="3" stopIfTrue="1" operator="notEqual">
      <formula>0</formula>
    </cfRule>
  </conditionalFormatting>
  <conditionalFormatting sqref="M395:N395">
    <cfRule type="cellIs" dxfId="46" priority="2" stopIfTrue="1" operator="notEqual">
      <formula>0</formula>
    </cfRule>
  </conditionalFormatting>
  <conditionalFormatting sqref="M433:N433">
    <cfRule type="cellIs" dxfId="45" priority="1" stopIfTrue="1" operator="notEqual">
      <formula>0</formula>
    </cfRule>
  </conditionalFormatting>
  <conditionalFormatting sqref="O3:S10">
    <cfRule type="cellIs" dxfId="44" priority="63" operator="notEqual">
      <formula>0</formula>
    </cfRule>
  </conditionalFormatting>
  <conditionalFormatting sqref="T3:AM7 M4:N4 M6:N10 T8:AE8 AG8:AM10 T9:AB10 AD9:AD10 I14 Y47:Z47">
    <cfRule type="cellIs" dxfId="43" priority="65" stopIfTrue="1" operator="greaterThan">
      <formula>0.0001</formula>
    </cfRule>
    <cfRule type="cellIs" dxfId="42" priority="66" stopIfTrue="1" operator="lessThan">
      <formula>-0.0001</formula>
    </cfRule>
  </conditionalFormatting>
  <conditionalFormatting sqref="AN1:AN10">
    <cfRule type="cellIs" dxfId="41" priority="43" stopIfTrue="1" operator="greaterThan">
      <formula>0.0001</formula>
    </cfRule>
    <cfRule type="cellIs" dxfId="40" priority="44" stopIfTrue="1" operator="lessThan">
      <formula>-0.0001</formula>
    </cfRule>
  </conditionalFormatting>
  <conditionalFormatting sqref="AO1:AW13">
    <cfRule type="cellIs" dxfId="39" priority="45" stopIfTrue="1" operator="greaterThan">
      <formula>0.0001</formula>
    </cfRule>
    <cfRule type="cellIs" dxfId="38" priority="46" stopIfTrue="1" operator="lessThan">
      <formula>-0.0001</formula>
    </cfRule>
  </conditionalFormatting>
  <conditionalFormatting sqref="BE3:BG10">
    <cfRule type="cellIs" dxfId="37" priority="10" operator="notEqual">
      <formula>0</formula>
    </cfRule>
  </conditionalFormatting>
  <conditionalFormatting sqref="BE1:BP2">
    <cfRule type="cellIs" dxfId="36" priority="14" stopIfTrue="1" operator="greaterThan">
      <formula>0.0001</formula>
    </cfRule>
    <cfRule type="cellIs" dxfId="35" priority="15" stopIfTrue="1" operator="lessThan">
      <formula>-0.0001</formula>
    </cfRule>
  </conditionalFormatting>
  <conditionalFormatting sqref="BE11:BP13">
    <cfRule type="cellIs" dxfId="34" priority="11" stopIfTrue="1" operator="greaterThan">
      <formula>0.0001</formula>
    </cfRule>
    <cfRule type="cellIs" dxfId="33" priority="12" stopIfTrue="1" operator="lessThan">
      <formula>-0.0001</formula>
    </cfRule>
  </conditionalFormatting>
  <conditionalFormatting sqref="BH3:BH7 BP3:BP10 BI4:BJ4 BI6:BJ7 BH8:BJ10 BC14">
    <cfRule type="cellIs" dxfId="32" priority="40" stopIfTrue="1" operator="greaterThan">
      <formula>0.0001</formula>
    </cfRule>
    <cfRule type="cellIs" dxfId="31" priority="41" stopIfTrue="1" operator="lessThan">
      <formula>-0.0001</formula>
    </cfRule>
  </conditionalFormatting>
  <conditionalFormatting sqref="BI91:BJ91">
    <cfRule type="cellIs" dxfId="30" priority="42" stopIfTrue="1" operator="notEqual">
      <formula>0</formula>
    </cfRule>
  </conditionalFormatting>
  <conditionalFormatting sqref="BI129:BJ129">
    <cfRule type="cellIs" dxfId="29" priority="31" stopIfTrue="1" operator="notEqual">
      <formula>0</formula>
    </cfRule>
  </conditionalFormatting>
  <conditionalFormatting sqref="BI167:BJ167">
    <cfRule type="cellIs" dxfId="28" priority="28" stopIfTrue="1" operator="notEqual">
      <formula>0</formula>
    </cfRule>
  </conditionalFormatting>
  <conditionalFormatting sqref="BI205:BJ205">
    <cfRule type="cellIs" dxfId="27" priority="30" stopIfTrue="1" operator="notEqual">
      <formula>0</formula>
    </cfRule>
  </conditionalFormatting>
  <conditionalFormatting sqref="BI243:BJ243">
    <cfRule type="cellIs" dxfId="26" priority="29" stopIfTrue="1" operator="notEqual">
      <formula>0</formula>
    </cfRule>
  </conditionalFormatting>
  <conditionalFormatting sqref="BI281:BJ281">
    <cfRule type="cellIs" dxfId="25" priority="27" stopIfTrue="1" operator="notEqual">
      <formula>0</formula>
    </cfRule>
  </conditionalFormatting>
  <conditionalFormatting sqref="BI319:BJ319">
    <cfRule type="cellIs" dxfId="24" priority="26" stopIfTrue="1" operator="notEqual">
      <formula>0</formula>
    </cfRule>
  </conditionalFormatting>
  <conditionalFormatting sqref="BI357:BJ357">
    <cfRule type="cellIs" dxfId="23" priority="25" stopIfTrue="1" operator="notEqual">
      <formula>0</formula>
    </cfRule>
  </conditionalFormatting>
  <conditionalFormatting sqref="BI395:BJ395">
    <cfRule type="cellIs" dxfId="22" priority="24" stopIfTrue="1" operator="notEqual">
      <formula>0</formula>
    </cfRule>
  </conditionalFormatting>
  <conditionalFormatting sqref="BK3:BO10">
    <cfRule type="cellIs" dxfId="21" priority="36" operator="notEqual">
      <formula>0</formula>
    </cfRule>
  </conditionalFormatting>
  <pageMargins left="0.75" right="0.75" top="1" bottom="1" header="0" footer="0"/>
  <pageSetup paperSize="9" scale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Button 1">
              <controlPr defaultSize="0" print="0" autoFill="0" autoPict="0" macro="[0]!ekonomski_kazalci">
                <anchor moveWithCells="1" sizeWithCells="1">
                  <from>
                    <xdr:col>8</xdr:col>
                    <xdr:colOff>0</xdr:colOff>
                    <xdr:row>4</xdr:row>
                    <xdr:rowOff>0</xdr:rowOff>
                  </from>
                  <to>
                    <xdr:col>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>
    <tabColor theme="6" tint="0.79998168889431442"/>
  </sheetPr>
  <dimension ref="A1:AU461"/>
  <sheetViews>
    <sheetView topLeftCell="A60" workbookViewId="0"/>
  </sheetViews>
  <sheetFormatPr defaultColWidth="9.33203125" defaultRowHeight="11.4" x14ac:dyDescent="0.2"/>
  <cols>
    <col min="1" max="5" width="6.44140625" style="131" customWidth="1"/>
    <col min="6" max="7" width="7.6640625" style="46" customWidth="1"/>
    <col min="8" max="8" width="5" style="116" customWidth="1"/>
    <col min="9" max="9" width="8.44140625" style="46" customWidth="1"/>
    <col min="10" max="10" width="43.109375" style="46" customWidth="1"/>
    <col min="11" max="12" width="8.33203125" style="46" customWidth="1"/>
    <col min="13" max="13" width="7" style="229" customWidth="1"/>
    <col min="14" max="14" width="7.6640625" style="46" customWidth="1"/>
    <col min="15" max="15" width="11.6640625" style="46" customWidth="1"/>
    <col min="16" max="16" width="7.6640625" style="46" customWidth="1"/>
    <col min="17" max="22" width="12" style="46" customWidth="1"/>
    <col min="23" max="23" width="3.44140625" style="46" customWidth="1"/>
    <col min="24" max="26" width="8.44140625" style="46" customWidth="1"/>
    <col min="27" max="28" width="7.6640625" style="46" customWidth="1"/>
    <col min="29" max="29" width="3.77734375" style="46" customWidth="1"/>
    <col min="30" max="30" width="3.77734375" style="235" customWidth="1"/>
    <col min="31" max="38" width="9.77734375" style="235" customWidth="1"/>
    <col min="39" max="41" width="9" style="235" customWidth="1"/>
    <col min="42" max="42" width="9" style="46" customWidth="1"/>
    <col min="43" max="45" width="9.109375" style="46" customWidth="1"/>
    <col min="46" max="16384" width="9.33203125" style="46"/>
  </cols>
  <sheetData>
    <row r="1" spans="10:47" ht="12" hidden="1" customHeight="1" x14ac:dyDescent="0.2">
      <c r="L1" s="112"/>
      <c r="M1" s="228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</row>
    <row r="2" spans="10:47" ht="12" hidden="1" customHeight="1" x14ac:dyDescent="0.2">
      <c r="L2" s="112"/>
      <c r="M2" s="228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</row>
    <row r="3" spans="10:47" ht="12" hidden="1" customHeight="1" x14ac:dyDescent="0.2">
      <c r="L3" s="112"/>
      <c r="M3" s="228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</row>
    <row r="4" spans="10:47" ht="12" hidden="1" customHeight="1" x14ac:dyDescent="0.2">
      <c r="L4" s="112"/>
      <c r="M4" s="228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</row>
    <row r="5" spans="10:47" ht="12" hidden="1" customHeight="1" x14ac:dyDescent="0.2">
      <c r="L5" s="112"/>
      <c r="M5" s="228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</row>
    <row r="6" spans="10:47" ht="12" hidden="1" customHeight="1" x14ac:dyDescent="0.2">
      <c r="L6" s="112"/>
      <c r="M6" s="228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</row>
    <row r="7" spans="10:47" ht="12" hidden="1" customHeight="1" x14ac:dyDescent="0.2">
      <c r="L7" s="112"/>
      <c r="M7" s="228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</row>
    <row r="8" spans="10:47" ht="12" hidden="1" customHeight="1" x14ac:dyDescent="0.2">
      <c r="L8" s="112"/>
      <c r="M8" s="228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</row>
    <row r="9" spans="10:47" ht="12" hidden="1" customHeight="1" x14ac:dyDescent="0.2">
      <c r="L9" s="112"/>
      <c r="M9" s="228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</row>
    <row r="10" spans="10:47" ht="12" hidden="1" customHeight="1" x14ac:dyDescent="0.2">
      <c r="L10" s="112"/>
      <c r="M10" s="228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</row>
    <row r="11" spans="10:47" ht="12" hidden="1" customHeight="1" x14ac:dyDescent="0.2">
      <c r="L11" s="112"/>
      <c r="M11" s="228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0:47" ht="12" hidden="1" customHeight="1" x14ac:dyDescent="0.2">
      <c r="L12" s="112"/>
      <c r="M12" s="228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</row>
    <row r="13" spans="10:47" ht="12" hidden="1" customHeight="1" x14ac:dyDescent="0.2">
      <c r="L13" s="112"/>
      <c r="M13" s="228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</row>
    <row r="14" spans="10:47" ht="12" hidden="1" customHeight="1" x14ac:dyDescent="0.2">
      <c r="J14" s="112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</row>
    <row r="15" spans="10:47" ht="12" hidden="1" customHeight="1" x14ac:dyDescent="0.2">
      <c r="K15" s="113"/>
      <c r="L15" s="114"/>
      <c r="M15" s="230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</row>
    <row r="16" spans="10:47" ht="12" hidden="1" customHeight="1" x14ac:dyDescent="0.2">
      <c r="K16" s="113"/>
      <c r="L16" s="114"/>
      <c r="M16" s="230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</row>
    <row r="17" spans="11:41" ht="12" hidden="1" customHeight="1" x14ac:dyDescent="0.2">
      <c r="K17" s="113"/>
      <c r="L17" s="114"/>
      <c r="M17" s="230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</row>
    <row r="18" spans="11:41" ht="12" hidden="1" customHeight="1" x14ac:dyDescent="0.2">
      <c r="K18" s="113"/>
      <c r="L18" s="114"/>
      <c r="M18" s="230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</row>
    <row r="19" spans="11:41" ht="12" hidden="1" customHeight="1" x14ac:dyDescent="0.2">
      <c r="K19" s="113"/>
      <c r="L19" s="114"/>
      <c r="M19" s="230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</row>
    <row r="20" spans="11:41" ht="12" hidden="1" customHeight="1" x14ac:dyDescent="0.2">
      <c r="K20" s="113"/>
      <c r="L20" s="114"/>
      <c r="M20" s="230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</row>
    <row r="21" spans="11:41" ht="12" hidden="1" customHeight="1" x14ac:dyDescent="0.2">
      <c r="K21" s="113"/>
      <c r="L21" s="114"/>
      <c r="M21" s="230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</row>
    <row r="22" spans="11:41" ht="12" hidden="1" customHeight="1" x14ac:dyDescent="0.2">
      <c r="K22" s="113"/>
      <c r="L22" s="114"/>
      <c r="M22" s="230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</row>
    <row r="23" spans="11:41" ht="12" hidden="1" customHeight="1" x14ac:dyDescent="0.2">
      <c r="K23" s="113"/>
      <c r="L23" s="114"/>
      <c r="M23" s="230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</row>
    <row r="24" spans="11:41" ht="12" hidden="1" customHeight="1" x14ac:dyDescent="0.2">
      <c r="K24" s="113"/>
      <c r="L24" s="114"/>
      <c r="M24" s="230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</row>
    <row r="25" spans="11:41" ht="12" hidden="1" customHeight="1" x14ac:dyDescent="0.2">
      <c r="K25" s="113"/>
      <c r="L25" s="114"/>
      <c r="M25" s="230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</row>
    <row r="26" spans="11:41" ht="12" hidden="1" customHeight="1" x14ac:dyDescent="0.2">
      <c r="K26" s="115"/>
      <c r="L26" s="114"/>
      <c r="M26" s="230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</row>
    <row r="27" spans="11:41" ht="12" hidden="1" customHeight="1" x14ac:dyDescent="0.2">
      <c r="K27" s="115"/>
      <c r="L27" s="114"/>
      <c r="M27" s="230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</row>
    <row r="28" spans="11:41" ht="12" hidden="1" customHeight="1" x14ac:dyDescent="0.2">
      <c r="K28" s="115"/>
      <c r="L28" s="114"/>
      <c r="M28" s="230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</row>
    <row r="29" spans="11:41" ht="12" hidden="1" customHeight="1" x14ac:dyDescent="0.2">
      <c r="K29" s="115"/>
      <c r="L29" s="114"/>
      <c r="M29" s="230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</row>
    <row r="30" spans="11:41" ht="12" hidden="1" customHeight="1" x14ac:dyDescent="0.2">
      <c r="K30" s="115"/>
      <c r="L30" s="114"/>
      <c r="M30" s="230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</row>
    <row r="31" spans="11:41" ht="12" hidden="1" customHeight="1" x14ac:dyDescent="0.2">
      <c r="K31" s="115"/>
      <c r="L31" s="114"/>
      <c r="M31" s="230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</row>
    <row r="32" spans="11:41" ht="12" hidden="1" customHeight="1" x14ac:dyDescent="0.2">
      <c r="K32" s="115"/>
      <c r="L32" s="114"/>
      <c r="M32" s="230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</row>
    <row r="33" spans="11:41" ht="12" customHeight="1" x14ac:dyDescent="0.2">
      <c r="K33" s="115"/>
      <c r="L33" s="114"/>
      <c r="M33" s="230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</row>
    <row r="34" spans="11:41" ht="12" customHeight="1" x14ac:dyDescent="0.2">
      <c r="K34" s="114"/>
      <c r="L34" s="114"/>
      <c r="M34" s="230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</row>
    <row r="35" spans="11:41" ht="12" customHeight="1" x14ac:dyDescent="0.25">
      <c r="K35" s="114"/>
      <c r="L35" s="114"/>
      <c r="M35" s="230"/>
      <c r="N35" s="114"/>
      <c r="O35" s="294" t="s">
        <v>66</v>
      </c>
      <c r="P35" s="294"/>
      <c r="Q35" s="294" t="s">
        <v>219</v>
      </c>
      <c r="R35" s="294"/>
      <c r="S35" s="294"/>
      <c r="T35" s="294"/>
      <c r="U35" s="294"/>
      <c r="V35" s="294"/>
      <c r="W35" s="114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</row>
    <row r="36" spans="11:41" ht="12" customHeight="1" x14ac:dyDescent="0.2">
      <c r="K36" s="114"/>
      <c r="L36" s="114"/>
      <c r="M36" s="230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</row>
    <row r="37" spans="11:41" ht="12" customHeight="1" x14ac:dyDescent="0.25">
      <c r="K37" s="114"/>
      <c r="L37" s="114"/>
      <c r="M37" s="230"/>
      <c r="N37" s="114"/>
      <c r="O37" s="294" t="e">
        <f>+#REF!</f>
        <v>#REF!</v>
      </c>
      <c r="P37" s="114"/>
      <c r="Q37" s="117">
        <f>Q88-'2023'!H37</f>
        <v>-178.83999999999992</v>
      </c>
      <c r="R37" s="117">
        <f>R88-'2023'!I37</f>
        <v>-178.83999999999992</v>
      </c>
      <c r="S37" s="117">
        <f>S88-'2023'!J37</f>
        <v>-178.83999999999992</v>
      </c>
      <c r="T37" s="117">
        <f>T88-'2023'!K37</f>
        <v>-178.83999999999992</v>
      </c>
      <c r="U37" s="117">
        <f>U88-'2023'!L37</f>
        <v>-178.83999999999992</v>
      </c>
      <c r="V37" s="117">
        <f>V88-'2023'!M37</f>
        <v>-178.83999999999992</v>
      </c>
      <c r="W37" s="114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</row>
    <row r="38" spans="11:41" ht="12" customHeight="1" x14ac:dyDescent="0.25">
      <c r="K38" s="114"/>
      <c r="L38" s="114"/>
      <c r="M38" s="230"/>
      <c r="N38" s="114"/>
      <c r="O38" s="294" t="e">
        <f>#REF!</f>
        <v>#REF!</v>
      </c>
      <c r="P38" s="114"/>
      <c r="Q38" s="117">
        <f>'2023'!H75-Q125</f>
        <v>178.83999999999992</v>
      </c>
      <c r="R38" s="117">
        <f>'2023'!I75-R125</f>
        <v>178.83999999999992</v>
      </c>
      <c r="S38" s="117">
        <f>'2023'!J75-S125</f>
        <v>178.83999999999992</v>
      </c>
      <c r="T38" s="117">
        <f>'2023'!K75-T125</f>
        <v>178.83999999999992</v>
      </c>
      <c r="U38" s="117">
        <f>'2023'!L75-U125</f>
        <v>178.83999999999992</v>
      </c>
      <c r="V38" s="117">
        <f>'2023'!M75-V125</f>
        <v>178.83999999999992</v>
      </c>
      <c r="W38" s="114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</row>
    <row r="39" spans="11:41" ht="12" customHeight="1" x14ac:dyDescent="0.25">
      <c r="K39" s="114"/>
      <c r="L39" s="114"/>
      <c r="M39" s="230"/>
      <c r="N39" s="114"/>
      <c r="O39" s="294" t="e">
        <f>#REF!</f>
        <v>#REF!</v>
      </c>
      <c r="P39" s="114"/>
      <c r="Q39" s="117">
        <f>'2023'!H113-Q162</f>
        <v>178.83999999999992</v>
      </c>
      <c r="R39" s="117">
        <f>'2023'!I113-R162</f>
        <v>178.83999999999992</v>
      </c>
      <c r="S39" s="117">
        <f>'2023'!J113-S162</f>
        <v>178.83999999999992</v>
      </c>
      <c r="T39" s="117">
        <f>'2023'!K113-T162</f>
        <v>178.8399999999998</v>
      </c>
      <c r="U39" s="117">
        <f>'2023'!L113-U162</f>
        <v>178.83999999999992</v>
      </c>
      <c r="V39" s="117">
        <f>'2023'!M113-V162</f>
        <v>178.83999999999992</v>
      </c>
      <c r="W39" s="114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</row>
    <row r="40" spans="11:41" ht="12" customHeight="1" x14ac:dyDescent="0.25">
      <c r="K40" s="114"/>
      <c r="L40" s="114"/>
      <c r="M40" s="230"/>
      <c r="N40" s="114"/>
      <c r="O40" s="294" t="e">
        <f>#REF!</f>
        <v>#REF!</v>
      </c>
      <c r="P40" s="114"/>
      <c r="Q40" s="117">
        <f>'2023'!H151-Q199</f>
        <v>178.83999999999992</v>
      </c>
      <c r="R40" s="117">
        <f>'2023'!I151-R199</f>
        <v>178.83999999999992</v>
      </c>
      <c r="S40" s="117">
        <f>'2023'!J151-S199</f>
        <v>178.83999999999992</v>
      </c>
      <c r="T40" s="117">
        <f>'2023'!K151-T199</f>
        <v>178.83999999999992</v>
      </c>
      <c r="U40" s="117">
        <f>'2023'!L151-U199</f>
        <v>178.83999999999992</v>
      </c>
      <c r="V40" s="117">
        <f>'2023'!M151-V199</f>
        <v>178.83999999999992</v>
      </c>
      <c r="W40" s="114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</row>
    <row r="41" spans="11:41" ht="12" customHeight="1" x14ac:dyDescent="0.25">
      <c r="K41" s="114"/>
      <c r="L41" s="114"/>
      <c r="M41" s="230"/>
      <c r="N41" s="114"/>
      <c r="O41" s="294" t="e">
        <f>#REF!</f>
        <v>#REF!</v>
      </c>
      <c r="P41" s="114"/>
      <c r="Q41" s="117">
        <f>'2023'!H189-Q236</f>
        <v>178.84000000000015</v>
      </c>
      <c r="R41" s="117">
        <f>'2023'!I189-R236</f>
        <v>178.84000000000015</v>
      </c>
      <c r="S41" s="117">
        <f>'2023'!J189-S236</f>
        <v>178.84000000000015</v>
      </c>
      <c r="T41" s="117">
        <f>'2023'!K189-T236</f>
        <v>178.84000000000015</v>
      </c>
      <c r="U41" s="117">
        <f>'2023'!L189-U236</f>
        <v>178.84000000000015</v>
      </c>
      <c r="V41" s="117">
        <f>'2023'!M189-V236</f>
        <v>178.84000000000015</v>
      </c>
      <c r="W41" s="114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</row>
    <row r="42" spans="11:41" ht="12" customHeight="1" x14ac:dyDescent="0.25">
      <c r="K42" s="114"/>
      <c r="L42" s="114"/>
      <c r="M42" s="230"/>
      <c r="N42" s="114"/>
      <c r="O42" s="294" t="e">
        <f>#REF!</f>
        <v>#REF!</v>
      </c>
      <c r="P42" s="114"/>
      <c r="Q42" s="117">
        <f>'2023'!H227-Q273</f>
        <v>178.83999999999651</v>
      </c>
      <c r="R42" s="117">
        <f>'2023'!I227-R273</f>
        <v>178.83999999999651</v>
      </c>
      <c r="S42" s="117">
        <f>'2023'!J227-S273</f>
        <v>178.84000000000015</v>
      </c>
      <c r="T42" s="117">
        <f>'2023'!K227-T273</f>
        <v>178.84000000000015</v>
      </c>
      <c r="U42" s="117">
        <f>'2023'!L227-U273</f>
        <v>178.84000000000015</v>
      </c>
      <c r="V42" s="117">
        <f>'2023'!M227-V273</f>
        <v>0</v>
      </c>
      <c r="W42" s="114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</row>
    <row r="43" spans="11:41" ht="12" customHeight="1" x14ac:dyDescent="0.25">
      <c r="K43" s="115"/>
      <c r="L43" s="114"/>
      <c r="M43" s="230"/>
      <c r="N43" s="114"/>
      <c r="O43" s="294" t="e">
        <f>#REF!</f>
        <v>#REF!</v>
      </c>
      <c r="P43" s="114"/>
      <c r="Q43" s="117">
        <f>'2023'!H265-Q310</f>
        <v>178.83999999999651</v>
      </c>
      <c r="R43" s="117">
        <f>'2023'!I265-R310</f>
        <v>178.83999999999651</v>
      </c>
      <c r="S43" s="117">
        <f>'2023'!J265-S310</f>
        <v>178.83999999999651</v>
      </c>
      <c r="T43" s="117">
        <f>'2023'!K265-T310</f>
        <v>178.83999999999651</v>
      </c>
      <c r="U43" s="117">
        <f>'2023'!L265-U310</f>
        <v>178.84000000000015</v>
      </c>
      <c r="V43" s="117">
        <f>'2023'!M265-V310</f>
        <v>0</v>
      </c>
      <c r="W43" s="114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</row>
    <row r="44" spans="11:41" ht="12" customHeight="1" x14ac:dyDescent="0.25">
      <c r="K44" s="115"/>
      <c r="L44" s="114"/>
      <c r="M44" s="230"/>
      <c r="N44" s="114"/>
      <c r="O44" s="294" t="e">
        <f>#REF!</f>
        <v>#REF!</v>
      </c>
      <c r="P44" s="114"/>
      <c r="Q44" s="117">
        <f>'2023'!H303-Q347</f>
        <v>178.83999999999651</v>
      </c>
      <c r="R44" s="117">
        <f>'2023'!I303-R347</f>
        <v>178.83999999999651</v>
      </c>
      <c r="S44" s="117">
        <f>'2023'!J303-S347</f>
        <v>178.83999999999651</v>
      </c>
      <c r="T44" s="117">
        <f>'2023'!K303-T347</f>
        <v>178.84000000000015</v>
      </c>
      <c r="U44" s="117"/>
      <c r="V44" s="117"/>
      <c r="W44" s="114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</row>
    <row r="45" spans="11:41" ht="12" customHeight="1" x14ac:dyDescent="0.25">
      <c r="K45" s="115"/>
      <c r="L45" s="114"/>
      <c r="M45" s="230"/>
      <c r="N45" s="114"/>
      <c r="O45" s="294" t="e">
        <f>#REF!</f>
        <v>#REF!</v>
      </c>
      <c r="P45" s="114"/>
      <c r="Q45" s="117">
        <f>'2023'!H341-Q384</f>
        <v>178.84000000000015</v>
      </c>
      <c r="R45" s="117">
        <f>'2023'!I341-R384</f>
        <v>178.84000000000015</v>
      </c>
      <c r="S45" s="117">
        <f>'2023'!J341-S384</f>
        <v>178.84000000000015</v>
      </c>
      <c r="T45" s="117">
        <f>'2023'!K341-T384</f>
        <v>178.84000000000015</v>
      </c>
      <c r="U45" s="117">
        <f>'2023'!L341-U384</f>
        <v>178.84000000000015</v>
      </c>
      <c r="V45" s="117">
        <f>'2023'!M341-V384</f>
        <v>178.84000000000015</v>
      </c>
      <c r="W45" s="114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</row>
    <row r="46" spans="11:41" ht="12" customHeight="1" x14ac:dyDescent="0.25">
      <c r="K46" s="115"/>
      <c r="L46" s="114"/>
      <c r="M46" s="230"/>
      <c r="N46" s="114"/>
      <c r="O46" s="294" t="e">
        <f>#REF!</f>
        <v>#REF!</v>
      </c>
      <c r="P46" s="114"/>
      <c r="Q46" s="117">
        <f>'2023'!H379-Q421</f>
        <v>178.84000000000015</v>
      </c>
      <c r="R46" s="117">
        <f>'2023'!I379-R421</f>
        <v>178.84000000000015</v>
      </c>
      <c r="S46" s="117">
        <f>'2023'!J379-S421</f>
        <v>178.84000000000015</v>
      </c>
      <c r="T46" s="117">
        <f>'2023'!K379-T421</f>
        <v>178.84000000000015</v>
      </c>
      <c r="U46" s="117">
        <f>'2023'!L379-U421</f>
        <v>178.84000000000015</v>
      </c>
      <c r="V46" s="117">
        <f>'2023'!M379-V421</f>
        <v>178.84000000000015</v>
      </c>
      <c r="W46" s="114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</row>
    <row r="47" spans="11:41" ht="12" customHeight="1" x14ac:dyDescent="0.2">
      <c r="K47" s="115"/>
      <c r="L47" s="114"/>
      <c r="M47" s="230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</row>
    <row r="48" spans="11:41" ht="12" customHeight="1" x14ac:dyDescent="0.2">
      <c r="K48" s="115"/>
      <c r="L48" s="114"/>
      <c r="M48" s="230"/>
      <c r="N48" s="114"/>
      <c r="O48" s="114"/>
      <c r="P48" s="114"/>
      <c r="Q48" s="117"/>
      <c r="R48" s="117"/>
      <c r="S48" s="117"/>
      <c r="T48" s="117"/>
      <c r="U48" s="117"/>
      <c r="V48" s="114"/>
      <c r="W48" s="114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</row>
    <row r="49" spans="1:41" ht="12" customHeight="1" x14ac:dyDescent="0.2">
      <c r="K49" s="115"/>
      <c r="L49" s="114"/>
      <c r="M49" s="230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</row>
    <row r="50" spans="1:41" ht="18.75" customHeight="1" x14ac:dyDescent="0.4">
      <c r="A50" s="212" t="s">
        <v>4</v>
      </c>
      <c r="B50" s="212" t="s">
        <v>0</v>
      </c>
      <c r="C50" s="212" t="s">
        <v>2</v>
      </c>
      <c r="D50" s="212" t="s">
        <v>1</v>
      </c>
      <c r="K50" s="231"/>
      <c r="L50" s="232"/>
      <c r="M50" s="233"/>
      <c r="O50" s="234">
        <f>'2023'!E1</f>
        <v>2023</v>
      </c>
      <c r="R50" s="114"/>
      <c r="S50" s="114"/>
      <c r="AD50" s="357" t="s">
        <v>237</v>
      </c>
      <c r="AE50" s="358"/>
      <c r="AF50" s="358"/>
      <c r="AG50" s="358"/>
      <c r="AH50" s="358"/>
      <c r="AI50" s="358"/>
      <c r="AJ50" s="358"/>
      <c r="AK50" s="358"/>
      <c r="AL50" s="358"/>
      <c r="AM50" s="358"/>
      <c r="AN50" s="358"/>
      <c r="AO50" s="358"/>
    </row>
    <row r="51" spans="1:41" ht="12.75" customHeight="1" x14ac:dyDescent="0.2">
      <c r="A51" s="194"/>
      <c r="B51" s="194"/>
      <c r="C51" s="194"/>
      <c r="D51" s="194"/>
      <c r="E51" s="194"/>
      <c r="F51" s="116">
        <v>1</v>
      </c>
      <c r="G51" s="116">
        <f t="shared" ref="G51:O51" si="0">+F51+1</f>
        <v>2</v>
      </c>
      <c r="H51" s="116">
        <f t="shared" si="0"/>
        <v>3</v>
      </c>
      <c r="I51" s="116">
        <f t="shared" si="0"/>
        <v>4</v>
      </c>
      <c r="J51" s="116">
        <f t="shared" si="0"/>
        <v>5</v>
      </c>
      <c r="K51" s="116">
        <f t="shared" si="0"/>
        <v>6</v>
      </c>
      <c r="L51" s="116">
        <f t="shared" si="0"/>
        <v>7</v>
      </c>
      <c r="M51" s="116">
        <f t="shared" si="0"/>
        <v>8</v>
      </c>
      <c r="N51" s="116">
        <f t="shared" si="0"/>
        <v>9</v>
      </c>
      <c r="O51" s="116">
        <f t="shared" si="0"/>
        <v>10</v>
      </c>
    </row>
    <row r="52" spans="1:41" ht="12" x14ac:dyDescent="0.25">
      <c r="J52" s="236"/>
      <c r="L52" s="45"/>
      <c r="Q52" s="45" t="s">
        <v>100</v>
      </c>
      <c r="AD52" s="186"/>
      <c r="AE52" s="186"/>
      <c r="AF52" s="46"/>
      <c r="AG52" s="46"/>
      <c r="AH52" s="46"/>
      <c r="AI52" s="46"/>
      <c r="AJ52" s="46"/>
      <c r="AK52" s="46"/>
      <c r="AL52" s="46"/>
      <c r="AM52" s="46"/>
      <c r="AN52" s="46"/>
    </row>
    <row r="53" spans="1:41" ht="12" x14ac:dyDescent="0.25">
      <c r="J53" s="237"/>
      <c r="L53" s="45"/>
      <c r="AD53" s="186"/>
      <c r="AE53" s="186"/>
      <c r="AF53" s="46"/>
      <c r="AG53" s="46"/>
      <c r="AH53" s="46"/>
      <c r="AI53" s="46"/>
      <c r="AJ53" s="46"/>
      <c r="AK53" s="46"/>
      <c r="AL53" s="46"/>
      <c r="AM53" s="46"/>
      <c r="AN53" s="46"/>
    </row>
    <row r="54" spans="1:41" ht="12" customHeight="1" x14ac:dyDescent="0.25">
      <c r="A54" s="213"/>
      <c r="B54" s="213"/>
      <c r="C54" s="213"/>
      <c r="D54" s="213"/>
      <c r="E54" s="213"/>
      <c r="F54" s="145"/>
      <c r="G54" s="145"/>
      <c r="H54" s="145">
        <f>1</f>
        <v>1</v>
      </c>
      <c r="I54" s="145" t="e">
        <f>+J56</f>
        <v>#REF!</v>
      </c>
      <c r="J54" s="144" t="s">
        <v>148</v>
      </c>
      <c r="K54" s="145"/>
      <c r="L54" s="145"/>
      <c r="M54" s="145"/>
      <c r="N54" s="145"/>
      <c r="O54" s="238" t="e">
        <f>+O62-O74+O67-'2023'!E27</f>
        <v>#REF!</v>
      </c>
      <c r="P54" s="145"/>
      <c r="Q54" s="238">
        <f>+Q62-Q74+Q67-'2023'!H27</f>
        <v>2.5548571427207178E-2</v>
      </c>
      <c r="R54" s="238">
        <f>+R62-R74+R67-'2023'!I27</f>
        <v>2.7513846153391419E-2</v>
      </c>
      <c r="S54" s="238">
        <f>+S62-S74+S67-'2023'!J27</f>
        <v>2.9806666666211901E-2</v>
      </c>
      <c r="T54" s="238">
        <f>+T62-T74+T67-'2023'!K27</f>
        <v>3.2516363635908874E-2</v>
      </c>
      <c r="U54" s="238">
        <f>+U62-U74+U67-'2023'!L27</f>
        <v>3.5767999999545219E-2</v>
      </c>
      <c r="V54" s="238">
        <f>+V62-V74+V67-'2023'!M27</f>
        <v>2.9806666667121395E-2</v>
      </c>
      <c r="W54" s="145"/>
      <c r="X54" s="145"/>
      <c r="Y54" s="145"/>
      <c r="Z54" s="145"/>
      <c r="AA54" s="145"/>
      <c r="AB54" s="145"/>
      <c r="AC54" s="145"/>
      <c r="AD54" s="239"/>
      <c r="AE54" s="240"/>
      <c r="AF54" s="46"/>
      <c r="AG54" s="46"/>
      <c r="AH54" s="46"/>
      <c r="AI54" s="46"/>
      <c r="AJ54" s="46"/>
      <c r="AK54" s="46"/>
      <c r="AL54" s="46"/>
      <c r="AM54" s="46"/>
      <c r="AN54" s="46"/>
      <c r="AO54" s="46"/>
    </row>
    <row r="55" spans="1:41" ht="12" x14ac:dyDescent="0.25">
      <c r="H55" s="116">
        <f>H54+1</f>
        <v>2</v>
      </c>
      <c r="I55" s="46" t="e">
        <f>+I54</f>
        <v>#REF!</v>
      </c>
      <c r="J55" s="118" t="s">
        <v>149</v>
      </c>
      <c r="K55" s="119"/>
      <c r="L55" s="119"/>
      <c r="M55" s="241"/>
      <c r="N55" s="119"/>
      <c r="O55" s="46" t="e">
        <f>#REF!</f>
        <v>#REF!</v>
      </c>
      <c r="Q55" s="242" t="e">
        <f>#REF!</f>
        <v>#REF!</v>
      </c>
      <c r="R55" s="242" t="e">
        <f>#REF!</f>
        <v>#REF!</v>
      </c>
      <c r="S55" s="242" t="e">
        <f>#REF!</f>
        <v>#REF!</v>
      </c>
      <c r="T55" s="242" t="e">
        <f>#REF!</f>
        <v>#REF!</v>
      </c>
      <c r="U55" s="242" t="e">
        <f>#REF!</f>
        <v>#REF!</v>
      </c>
      <c r="V55" s="242" t="e">
        <f>#REF!</f>
        <v>#REF!</v>
      </c>
      <c r="X55" s="119"/>
      <c r="Y55" s="119"/>
      <c r="Z55" s="119"/>
      <c r="AA55" s="119"/>
      <c r="AB55" s="119"/>
      <c r="AD55" s="240"/>
      <c r="AE55" s="240"/>
      <c r="AF55" s="46"/>
      <c r="AG55" s="46"/>
      <c r="AH55" s="46"/>
      <c r="AI55" s="46"/>
      <c r="AJ55" s="46"/>
      <c r="AK55" s="46"/>
      <c r="AL55" s="46"/>
      <c r="AM55" s="46"/>
      <c r="AN55" s="46"/>
    </row>
    <row r="56" spans="1:41" ht="12" x14ac:dyDescent="0.25">
      <c r="F56" s="46" t="e">
        <f>#REF!</f>
        <v>#REF!</v>
      </c>
      <c r="H56" s="116">
        <f t="shared" ref="H56:H90" si="1">H55+1</f>
        <v>3</v>
      </c>
      <c r="I56" s="46" t="e">
        <f>+I55</f>
        <v>#REF!</v>
      </c>
      <c r="J56" s="122" t="e">
        <v>#REF!</v>
      </c>
      <c r="K56" s="46" t="s">
        <v>63</v>
      </c>
      <c r="L56" s="186"/>
      <c r="M56" s="243"/>
      <c r="N56" s="237"/>
      <c r="O56" s="186">
        <f>+O50</f>
        <v>2023</v>
      </c>
      <c r="Q56" s="186"/>
      <c r="R56" s="244"/>
      <c r="S56" s="186">
        <f>+O56</f>
        <v>2023</v>
      </c>
      <c r="T56" s="186"/>
      <c r="U56" s="186"/>
      <c r="V56" s="186"/>
      <c r="X56" s="237" t="s">
        <v>93</v>
      </c>
      <c r="Y56" s="186"/>
      <c r="Z56" s="186"/>
      <c r="AA56" s="186"/>
      <c r="AB56" s="186"/>
      <c r="AC56" s="191"/>
      <c r="AD56" s="240"/>
      <c r="AE56" s="240"/>
      <c r="AF56" s="46"/>
      <c r="AG56" s="46"/>
      <c r="AH56" s="46"/>
      <c r="AI56" s="46"/>
      <c r="AJ56" s="46"/>
      <c r="AK56" s="46"/>
      <c r="AL56" s="46"/>
      <c r="AM56" s="46"/>
      <c r="AN56" s="46"/>
    </row>
    <row r="57" spans="1:41" ht="12" x14ac:dyDescent="0.25">
      <c r="G57" s="195"/>
      <c r="H57" s="116">
        <f t="shared" si="1"/>
        <v>4</v>
      </c>
      <c r="I57" s="46" t="e">
        <f>+I56</f>
        <v>#REF!</v>
      </c>
      <c r="J57" s="45" t="s">
        <v>84</v>
      </c>
      <c r="L57" s="186"/>
      <c r="M57" s="243"/>
      <c r="N57" s="237"/>
      <c r="Q57" s="186" t="s">
        <v>83</v>
      </c>
      <c r="R57" s="186" t="s">
        <v>82</v>
      </c>
      <c r="S57" s="186" t="s">
        <v>81</v>
      </c>
      <c r="T57" s="186" t="s">
        <v>80</v>
      </c>
      <c r="U57" s="186" t="s">
        <v>97</v>
      </c>
      <c r="V57" s="186" t="s">
        <v>158</v>
      </c>
      <c r="X57" s="186" t="s">
        <v>83</v>
      </c>
      <c r="Y57" s="186" t="s">
        <v>81</v>
      </c>
      <c r="Z57" s="186" t="s">
        <v>80</v>
      </c>
      <c r="AA57" s="186" t="s">
        <v>97</v>
      </c>
      <c r="AB57" s="186" t="s">
        <v>158</v>
      </c>
      <c r="AC57" s="191"/>
      <c r="AD57" s="146"/>
      <c r="AE57" s="146"/>
      <c r="AF57" s="46"/>
      <c r="AG57" s="46"/>
      <c r="AH57" s="46"/>
      <c r="AI57" s="46"/>
      <c r="AJ57" s="46"/>
      <c r="AK57" s="46"/>
      <c r="AL57" s="46"/>
      <c r="AM57" s="46"/>
      <c r="AN57" s="46"/>
    </row>
    <row r="58" spans="1:41" ht="12" x14ac:dyDescent="0.25">
      <c r="A58" s="131" t="s">
        <v>22</v>
      </c>
      <c r="G58" s="195"/>
      <c r="H58" s="116">
        <f t="shared" si="1"/>
        <v>5</v>
      </c>
      <c r="I58" s="46" t="e">
        <f>+I56</f>
        <v>#REF!</v>
      </c>
      <c r="J58" s="45" t="s">
        <v>21</v>
      </c>
      <c r="K58" s="46" t="s">
        <v>20</v>
      </c>
      <c r="L58" s="245"/>
      <c r="M58" s="246" t="e">
        <f>O58-#REF!</f>
        <v>#REF!</v>
      </c>
      <c r="N58" s="247"/>
      <c r="O58" s="123" t="e">
        <v>#REF!</v>
      </c>
      <c r="P58" s="132"/>
      <c r="Q58" s="123">
        <v>7000</v>
      </c>
      <c r="R58" s="123">
        <v>6500</v>
      </c>
      <c r="S58" s="123">
        <v>6000</v>
      </c>
      <c r="T58" s="123">
        <v>5500</v>
      </c>
      <c r="U58" s="123">
        <v>5000</v>
      </c>
      <c r="V58" s="123">
        <v>6000</v>
      </c>
      <c r="X58" s="299">
        <f>Q58/$S58*100</f>
        <v>116.66666666666667</v>
      </c>
      <c r="Y58" s="299">
        <f t="shared" ref="Y58:Y59" si="2">R58/$S58*100</f>
        <v>108.33333333333333</v>
      </c>
      <c r="Z58" s="299">
        <f>T58/$S58*100</f>
        <v>91.666666666666657</v>
      </c>
      <c r="AA58" s="299">
        <f t="shared" ref="AA58:AB59" si="3">U58/$S58*100</f>
        <v>83.333333333333343</v>
      </c>
      <c r="AB58" s="299">
        <f t="shared" si="3"/>
        <v>100</v>
      </c>
      <c r="AC58" s="191"/>
      <c r="AD58" s="191"/>
      <c r="AE58" s="191"/>
      <c r="AF58" s="46"/>
      <c r="AG58" s="46"/>
      <c r="AH58" s="46"/>
      <c r="AI58" s="46"/>
      <c r="AJ58" s="46"/>
      <c r="AK58" s="46"/>
      <c r="AL58" s="46"/>
      <c r="AM58" s="46"/>
      <c r="AN58" s="46"/>
    </row>
    <row r="59" spans="1:41" ht="12" x14ac:dyDescent="0.25">
      <c r="A59" s="131" t="s">
        <v>95</v>
      </c>
      <c r="G59" s="195"/>
      <c r="H59" s="116">
        <f t="shared" si="1"/>
        <v>6</v>
      </c>
      <c r="I59" s="46" t="e">
        <f>+I56</f>
        <v>#REF!</v>
      </c>
      <c r="J59" s="45" t="s">
        <v>5</v>
      </c>
      <c r="K59" s="46" t="s">
        <v>20</v>
      </c>
      <c r="L59" s="249"/>
      <c r="M59" s="250"/>
      <c r="O59" s="251" t="e">
        <v>#REF!</v>
      </c>
      <c r="Q59" s="252">
        <v>3500</v>
      </c>
      <c r="R59" s="252">
        <v>3250</v>
      </c>
      <c r="S59" s="252">
        <v>3000</v>
      </c>
      <c r="T59" s="252">
        <v>2750</v>
      </c>
      <c r="U59" s="252">
        <v>2500</v>
      </c>
      <c r="V59" s="252">
        <v>3000</v>
      </c>
      <c r="X59" s="300">
        <f t="shared" ref="X59" si="4">Q59/$S59*100</f>
        <v>116.66666666666667</v>
      </c>
      <c r="Y59" s="300">
        <f t="shared" si="2"/>
        <v>108.33333333333333</v>
      </c>
      <c r="Z59" s="300">
        <f t="shared" ref="Z59" si="5">T59/$S59*100</f>
        <v>91.666666666666657</v>
      </c>
      <c r="AA59" s="300">
        <f t="shared" si="3"/>
        <v>83.333333333333343</v>
      </c>
      <c r="AB59" s="300">
        <f t="shared" si="3"/>
        <v>100</v>
      </c>
      <c r="AC59" s="191"/>
      <c r="AD59" s="124"/>
      <c r="AE59" s="124"/>
      <c r="AF59" s="45"/>
      <c r="AG59" s="45"/>
      <c r="AH59" s="45"/>
      <c r="AI59" s="45"/>
      <c r="AJ59" s="45"/>
      <c r="AK59" s="45"/>
      <c r="AL59" s="45"/>
      <c r="AM59" s="45"/>
      <c r="AN59" s="45"/>
    </row>
    <row r="60" spans="1:41" ht="12" x14ac:dyDescent="0.25">
      <c r="A60" s="131" t="s">
        <v>91</v>
      </c>
      <c r="G60" s="195"/>
      <c r="H60" s="116">
        <f t="shared" si="1"/>
        <v>7</v>
      </c>
      <c r="I60" s="46" t="e">
        <f>+I57</f>
        <v>#REF!</v>
      </c>
      <c r="J60" s="45" t="s">
        <v>168</v>
      </c>
      <c r="K60" s="46" t="s">
        <v>89</v>
      </c>
      <c r="L60" s="186"/>
      <c r="M60" s="243"/>
      <c r="N60" s="237"/>
      <c r="O60" s="251" t="e">
        <v>#REF!</v>
      </c>
      <c r="Q60" s="252">
        <v>1</v>
      </c>
      <c r="R60" s="252">
        <v>1</v>
      </c>
      <c r="S60" s="252">
        <v>1</v>
      </c>
      <c r="T60" s="252">
        <v>1</v>
      </c>
      <c r="U60" s="252">
        <v>1</v>
      </c>
      <c r="V60" s="252">
        <v>5</v>
      </c>
      <c r="X60" s="300">
        <f t="shared" ref="X60:X75" si="6">Q60/$S60*100</f>
        <v>100</v>
      </c>
      <c r="Y60" s="300">
        <f t="shared" ref="Y60:Y75" si="7">R60/$S60*100</f>
        <v>100</v>
      </c>
      <c r="Z60" s="300">
        <f t="shared" ref="Z60:Z75" si="8">T60/$S60*100</f>
        <v>100</v>
      </c>
      <c r="AA60" s="300">
        <f t="shared" ref="AA60:AA75" si="9">U60/$S60*100</f>
        <v>100</v>
      </c>
      <c r="AB60" s="300">
        <f t="shared" ref="AB60:AB75" si="10">V60/$S60*100</f>
        <v>500</v>
      </c>
      <c r="AC60" s="191"/>
      <c r="AD60" s="125"/>
      <c r="AE60" s="125"/>
      <c r="AF60" s="46"/>
      <c r="AG60" s="46"/>
      <c r="AH60" s="46"/>
      <c r="AI60" s="46"/>
      <c r="AJ60" s="46"/>
      <c r="AK60" s="46"/>
      <c r="AL60" s="46"/>
      <c r="AM60" s="46"/>
      <c r="AN60" s="46"/>
    </row>
    <row r="61" spans="1:41" ht="12" x14ac:dyDescent="0.25">
      <c r="A61" s="196" t="s">
        <v>27</v>
      </c>
      <c r="G61" s="195"/>
      <c r="H61" s="116">
        <f t="shared" si="1"/>
        <v>8</v>
      </c>
      <c r="I61" s="46" t="e">
        <f>+I58</f>
        <v>#REF!</v>
      </c>
      <c r="J61" s="190" t="s">
        <v>27</v>
      </c>
      <c r="K61" s="253" t="s">
        <v>35</v>
      </c>
      <c r="L61" s="254"/>
      <c r="M61" s="254"/>
      <c r="N61" s="253"/>
      <c r="O61" s="255" t="e">
        <v>#REF!</v>
      </c>
      <c r="P61" s="253"/>
      <c r="Q61" s="256">
        <v>1911.7518449120089</v>
      </c>
      <c r="R61" s="256">
        <v>1812.8363785567485</v>
      </c>
      <c r="S61" s="256">
        <v>1695.1940917780623</v>
      </c>
      <c r="T61" s="256">
        <v>1612.1232256283406</v>
      </c>
      <c r="U61" s="256">
        <v>1527.3550218091502</v>
      </c>
      <c r="V61" s="256">
        <v>1667.7470655095058</v>
      </c>
      <c r="X61" s="299">
        <f t="shared" si="6"/>
        <v>112.77480579859753</v>
      </c>
      <c r="Y61" s="299">
        <f t="shared" si="7"/>
        <v>106.9397532323448</v>
      </c>
      <c r="Z61" s="299">
        <f t="shared" si="8"/>
        <v>95.099625078176743</v>
      </c>
      <c r="AA61" s="299">
        <f t="shared" si="9"/>
        <v>90.099123706072589</v>
      </c>
      <c r="AB61" s="299">
        <f t="shared" si="10"/>
        <v>98.380891816360233</v>
      </c>
      <c r="AC61" s="249"/>
      <c r="AD61" s="125"/>
      <c r="AE61" s="125"/>
      <c r="AF61" s="46"/>
      <c r="AG61" s="46"/>
      <c r="AH61" s="46"/>
      <c r="AI61" s="46"/>
      <c r="AJ61" s="46"/>
      <c r="AK61" s="46"/>
      <c r="AL61" s="46"/>
      <c r="AM61" s="46"/>
      <c r="AN61" s="46"/>
    </row>
    <row r="62" spans="1:41" s="45" customFormat="1" ht="12" x14ac:dyDescent="0.25">
      <c r="A62" s="131" t="s">
        <v>6</v>
      </c>
      <c r="B62" s="131"/>
      <c r="C62" s="131"/>
      <c r="D62" s="131"/>
      <c r="E62" s="131"/>
      <c r="F62" s="46"/>
      <c r="G62" s="195"/>
      <c r="H62" s="116">
        <f t="shared" si="1"/>
        <v>9</v>
      </c>
      <c r="I62" s="46" t="e">
        <f t="shared" ref="I62:I67" si="11">+I60</f>
        <v>#REF!</v>
      </c>
      <c r="J62" s="45" t="s">
        <v>52</v>
      </c>
      <c r="K62" s="46" t="s">
        <v>35</v>
      </c>
      <c r="L62" s="257"/>
      <c r="M62" s="258"/>
      <c r="N62" s="257"/>
      <c r="O62" s="251" t="e">
        <v>#REF!</v>
      </c>
      <c r="P62" s="146"/>
      <c r="Q62" s="251">
        <v>2494.2898537864685</v>
      </c>
      <c r="R62" s="251">
        <v>2382.6551143717152</v>
      </c>
      <c r="S62" s="251">
        <v>2232.8213806560016</v>
      </c>
      <c r="T62" s="251">
        <v>2131.379243384215</v>
      </c>
      <c r="U62" s="251">
        <v>2021.3645376747295</v>
      </c>
      <c r="V62" s="251">
        <v>2141.5524305591671</v>
      </c>
      <c r="W62" s="46"/>
      <c r="X62" s="300">
        <f t="shared" si="6"/>
        <v>111.71022793832472</v>
      </c>
      <c r="Y62" s="300">
        <f t="shared" si="7"/>
        <v>106.71051141904118</v>
      </c>
      <c r="Z62" s="300">
        <f t="shared" si="8"/>
        <v>95.456773293617289</v>
      </c>
      <c r="AA62" s="300">
        <f t="shared" si="9"/>
        <v>90.529612229028984</v>
      </c>
      <c r="AB62" s="300">
        <f t="shared" si="10"/>
        <v>95.9123935802684</v>
      </c>
      <c r="AC62" s="257"/>
      <c r="AD62" s="125"/>
      <c r="AE62" s="125"/>
      <c r="AF62" s="46"/>
      <c r="AG62" s="46"/>
      <c r="AH62" s="46"/>
      <c r="AI62" s="46"/>
      <c r="AJ62" s="46"/>
      <c r="AK62" s="46"/>
      <c r="AL62" s="46"/>
      <c r="AM62" s="46"/>
      <c r="AN62" s="46"/>
      <c r="AO62" s="259"/>
    </row>
    <row r="63" spans="1:41" ht="12" x14ac:dyDescent="0.25">
      <c r="A63" s="131" t="s">
        <v>5</v>
      </c>
      <c r="G63" s="195"/>
      <c r="H63" s="116">
        <f t="shared" si="1"/>
        <v>10</v>
      </c>
      <c r="I63" s="46" t="e">
        <f t="shared" si="11"/>
        <v>#REF!</v>
      </c>
      <c r="J63" s="46" t="s">
        <v>5</v>
      </c>
      <c r="K63" s="46" t="s">
        <v>35</v>
      </c>
      <c r="L63" s="257"/>
      <c r="M63" s="258"/>
      <c r="N63" s="146"/>
      <c r="O63" s="251" t="e">
        <v>#REF!</v>
      </c>
      <c r="Q63" s="252">
        <v>378.44987871864367</v>
      </c>
      <c r="R63" s="252">
        <v>353.24577272569672</v>
      </c>
      <c r="S63" s="252">
        <v>328.04166673274983</v>
      </c>
      <c r="T63" s="252">
        <v>294.30676246734066</v>
      </c>
      <c r="U63" s="252">
        <v>269.10265647439371</v>
      </c>
      <c r="V63" s="252">
        <v>328.04166673274983</v>
      </c>
      <c r="X63" s="300">
        <f t="shared" si="6"/>
        <v>115.36640527648598</v>
      </c>
      <c r="Y63" s="300">
        <f t="shared" si="7"/>
        <v>107.68320263824297</v>
      </c>
      <c r="Z63" s="300">
        <f t="shared" si="8"/>
        <v>89.716274581395652</v>
      </c>
      <c r="AA63" s="300">
        <f t="shared" si="9"/>
        <v>82.033071943152649</v>
      </c>
      <c r="AB63" s="300">
        <f t="shared" si="10"/>
        <v>100</v>
      </c>
      <c r="AC63" s="146"/>
      <c r="AD63" s="125"/>
      <c r="AE63" s="125"/>
      <c r="AF63" s="46"/>
      <c r="AG63" s="46"/>
      <c r="AH63" s="46"/>
      <c r="AI63" s="46"/>
      <c r="AJ63" s="46"/>
      <c r="AK63" s="46"/>
      <c r="AL63" s="46"/>
      <c r="AM63" s="46"/>
      <c r="AN63" s="46"/>
    </row>
    <row r="64" spans="1:41" ht="12" x14ac:dyDescent="0.25">
      <c r="G64" s="195"/>
      <c r="H64" s="116">
        <f t="shared" si="1"/>
        <v>11</v>
      </c>
      <c r="I64" s="46" t="e">
        <f t="shared" si="11"/>
        <v>#REF!</v>
      </c>
      <c r="J64" s="120" t="s">
        <v>51</v>
      </c>
      <c r="K64" s="120" t="s">
        <v>35</v>
      </c>
      <c r="L64" s="203"/>
      <c r="M64" s="260"/>
      <c r="N64" s="203"/>
      <c r="O64" s="261" t="e">
        <f>+O62-O63</f>
        <v>#REF!</v>
      </c>
      <c r="Q64" s="262">
        <f t="shared" ref="Q64:V64" si="12">+Q62-Q63</f>
        <v>2115.839975067825</v>
      </c>
      <c r="R64" s="262">
        <f t="shared" si="12"/>
        <v>2029.4093416460184</v>
      </c>
      <c r="S64" s="262">
        <f t="shared" si="12"/>
        <v>1904.7797139232516</v>
      </c>
      <c r="T64" s="262">
        <f t="shared" si="12"/>
        <v>1837.0724809168744</v>
      </c>
      <c r="U64" s="262">
        <f t="shared" si="12"/>
        <v>1752.2618812003357</v>
      </c>
      <c r="V64" s="262">
        <f t="shared" si="12"/>
        <v>1813.5107638264171</v>
      </c>
      <c r="X64" s="300">
        <f t="shared" si="6"/>
        <v>111.08056010896163</v>
      </c>
      <c r="Y64" s="300">
        <f t="shared" si="7"/>
        <v>106.54299427969383</v>
      </c>
      <c r="Z64" s="300">
        <f t="shared" si="8"/>
        <v>96.445403501966041</v>
      </c>
      <c r="AA64" s="300">
        <f t="shared" si="9"/>
        <v>91.992888647014368</v>
      </c>
      <c r="AB64" s="300">
        <f t="shared" si="10"/>
        <v>95.20842492023138</v>
      </c>
      <c r="AC64" s="146"/>
      <c r="AD64" s="125"/>
      <c r="AE64" s="125"/>
      <c r="AF64" s="46"/>
      <c r="AG64" s="46"/>
      <c r="AH64" s="46"/>
      <c r="AI64" s="46"/>
      <c r="AJ64" s="46"/>
      <c r="AK64" s="46"/>
      <c r="AL64" s="46"/>
      <c r="AM64" s="46"/>
      <c r="AN64" s="46"/>
    </row>
    <row r="65" spans="1:41" ht="12" x14ac:dyDescent="0.25">
      <c r="A65" s="131" t="s">
        <v>4</v>
      </c>
      <c r="B65" s="131" t="s">
        <v>0</v>
      </c>
      <c r="C65" s="131" t="s">
        <v>2</v>
      </c>
      <c r="D65" s="131" t="s">
        <v>1</v>
      </c>
      <c r="E65" s="131" t="s">
        <v>0</v>
      </c>
      <c r="G65" s="195"/>
      <c r="H65" s="116">
        <f t="shared" si="1"/>
        <v>12</v>
      </c>
      <c r="I65" s="46" t="e">
        <f t="shared" si="11"/>
        <v>#REF!</v>
      </c>
      <c r="J65" s="46" t="s">
        <v>50</v>
      </c>
      <c r="K65" s="46" t="s">
        <v>35</v>
      </c>
      <c r="L65" s="146"/>
      <c r="M65" s="260"/>
      <c r="N65" s="146"/>
      <c r="O65" s="252" t="e">
        <v>#REF!</v>
      </c>
      <c r="Q65" s="251">
        <v>23.94</v>
      </c>
      <c r="R65" s="251">
        <v>23.94</v>
      </c>
      <c r="S65" s="251">
        <v>23.94</v>
      </c>
      <c r="T65" s="251">
        <v>23.94</v>
      </c>
      <c r="U65" s="251">
        <v>23.94</v>
      </c>
      <c r="V65" s="251">
        <v>23.94</v>
      </c>
      <c r="X65" s="300">
        <f t="shared" si="6"/>
        <v>100</v>
      </c>
      <c r="Y65" s="300">
        <f t="shared" si="7"/>
        <v>100</v>
      </c>
      <c r="Z65" s="300">
        <f t="shared" si="8"/>
        <v>100</v>
      </c>
      <c r="AA65" s="300">
        <f t="shared" si="9"/>
        <v>100</v>
      </c>
      <c r="AB65" s="300">
        <f t="shared" si="10"/>
        <v>100</v>
      </c>
      <c r="AC65" s="146"/>
      <c r="AD65" s="125"/>
      <c r="AE65" s="125"/>
      <c r="AF65" s="46"/>
      <c r="AG65" s="46"/>
      <c r="AH65" s="46"/>
      <c r="AI65" s="46"/>
      <c r="AJ65" s="46"/>
      <c r="AK65" s="46"/>
      <c r="AL65" s="46"/>
      <c r="AM65" s="46"/>
      <c r="AN65" s="46"/>
    </row>
    <row r="66" spans="1:41" ht="12" x14ac:dyDescent="0.25">
      <c r="G66" s="195"/>
      <c r="H66" s="116">
        <f t="shared" si="1"/>
        <v>13</v>
      </c>
      <c r="I66" s="46" t="e">
        <f t="shared" si="11"/>
        <v>#REF!</v>
      </c>
      <c r="J66" s="120" t="s">
        <v>49</v>
      </c>
      <c r="K66" s="120" t="s">
        <v>35</v>
      </c>
      <c r="L66" s="203"/>
      <c r="M66" s="260"/>
      <c r="N66" s="203"/>
      <c r="O66" s="263" t="e">
        <f>+O64-O65</f>
        <v>#REF!</v>
      </c>
      <c r="Q66" s="264">
        <f t="shared" ref="Q66:V66" si="13">+Q64-Q65</f>
        <v>2091.8999750678249</v>
      </c>
      <c r="R66" s="264">
        <f t="shared" si="13"/>
        <v>2005.4693416460184</v>
      </c>
      <c r="S66" s="264">
        <f t="shared" si="13"/>
        <v>1880.8397139232516</v>
      </c>
      <c r="T66" s="264">
        <f t="shared" si="13"/>
        <v>1813.1324809168743</v>
      </c>
      <c r="U66" s="264">
        <f t="shared" si="13"/>
        <v>1728.3218812003356</v>
      </c>
      <c r="V66" s="264">
        <f t="shared" si="13"/>
        <v>1789.5707638264171</v>
      </c>
      <c r="X66" s="300">
        <f t="shared" si="6"/>
        <v>111.22159743768498</v>
      </c>
      <c r="Y66" s="300">
        <f t="shared" si="7"/>
        <v>106.62627584903561</v>
      </c>
      <c r="Z66" s="300">
        <f t="shared" si="8"/>
        <v>96.400159327498116</v>
      </c>
      <c r="AA66" s="300">
        <f t="shared" si="9"/>
        <v>91.890971272359067</v>
      </c>
      <c r="AB66" s="300">
        <f t="shared" si="10"/>
        <v>95.147436040338803</v>
      </c>
      <c r="AC66" s="146"/>
      <c r="AD66" s="125"/>
      <c r="AE66" s="125"/>
      <c r="AF66" s="46"/>
      <c r="AG66" s="46"/>
      <c r="AH66" s="46"/>
      <c r="AI66" s="46"/>
      <c r="AJ66" s="46"/>
      <c r="AK66" s="46"/>
      <c r="AL66" s="46"/>
      <c r="AM66" s="46"/>
      <c r="AN66" s="46"/>
    </row>
    <row r="67" spans="1:41" ht="12" x14ac:dyDescent="0.25">
      <c r="G67" s="195"/>
      <c r="H67" s="116">
        <f t="shared" si="1"/>
        <v>14</v>
      </c>
      <c r="I67" s="46" t="e">
        <f t="shared" si="11"/>
        <v>#REF!</v>
      </c>
      <c r="J67" s="189" t="s">
        <v>48</v>
      </c>
      <c r="K67" s="265" t="s">
        <v>46</v>
      </c>
      <c r="L67" s="266"/>
      <c r="M67" s="267"/>
      <c r="N67" s="268"/>
      <c r="O67" s="269" t="e">
        <f>+O66/O58</f>
        <v>#REF!</v>
      </c>
      <c r="Q67" s="270">
        <f t="shared" ref="Q67:V67" si="14">+Q66/Q58</f>
        <v>0.29884285358111784</v>
      </c>
      <c r="R67" s="270">
        <f t="shared" si="14"/>
        <v>0.30853374486861823</v>
      </c>
      <c r="S67" s="270">
        <f t="shared" si="14"/>
        <v>0.31347328565387528</v>
      </c>
      <c r="T67" s="270">
        <f t="shared" si="14"/>
        <v>0.32966045107579534</v>
      </c>
      <c r="U67" s="270">
        <f t="shared" si="14"/>
        <v>0.34566437624006713</v>
      </c>
      <c r="V67" s="270">
        <f t="shared" si="14"/>
        <v>0.2982617939710695</v>
      </c>
      <c r="X67" s="269">
        <f t="shared" si="6"/>
        <v>95.332797803729989</v>
      </c>
      <c r="Y67" s="269">
        <f t="shared" si="7"/>
        <v>98.42425462987903</v>
      </c>
      <c r="Z67" s="269">
        <f t="shared" si="8"/>
        <v>105.16381017545248</v>
      </c>
      <c r="AA67" s="269">
        <f t="shared" si="9"/>
        <v>110.26916552683088</v>
      </c>
      <c r="AB67" s="269">
        <f t="shared" si="10"/>
        <v>95.147436040338789</v>
      </c>
      <c r="AC67" s="146"/>
      <c r="AD67" s="124"/>
      <c r="AE67" s="124"/>
      <c r="AF67" s="45"/>
      <c r="AG67" s="45"/>
      <c r="AH67" s="45"/>
      <c r="AI67" s="45"/>
      <c r="AJ67" s="45"/>
      <c r="AK67" s="45"/>
      <c r="AL67" s="45"/>
      <c r="AM67" s="45"/>
      <c r="AN67" s="45"/>
    </row>
    <row r="68" spans="1:41" ht="12" x14ac:dyDescent="0.25">
      <c r="A68" s="131" t="s">
        <v>169</v>
      </c>
      <c r="G68" s="195"/>
      <c r="H68" s="116">
        <f t="shared" si="1"/>
        <v>15</v>
      </c>
      <c r="J68" s="46" t="str">
        <f t="shared" ref="J68:J74" si="15">+A68</f>
        <v>davek_a</v>
      </c>
      <c r="L68" s="146"/>
      <c r="M68" s="260"/>
      <c r="N68" s="146"/>
      <c r="O68" s="146" t="e">
        <v>#REF!</v>
      </c>
      <c r="Q68" s="117">
        <v>21.840265962903811</v>
      </c>
      <c r="R68" s="117">
        <v>22.616488766784194</v>
      </c>
      <c r="S68" s="117">
        <v>24.271018791587025</v>
      </c>
      <c r="T68" s="117">
        <v>25.302255613535927</v>
      </c>
      <c r="U68" s="117">
        <v>26.704915380567932</v>
      </c>
      <c r="V68" s="117">
        <v>26.787591195924566</v>
      </c>
      <c r="X68" s="300">
        <f t="shared" si="6"/>
        <v>89.984957576128707</v>
      </c>
      <c r="Y68" s="300">
        <f t="shared" si="7"/>
        <v>93.183104347575494</v>
      </c>
      <c r="Z68" s="300">
        <f t="shared" si="8"/>
        <v>104.24884027656209</v>
      </c>
      <c r="AA68" s="300">
        <f t="shared" si="9"/>
        <v>110.02799515702473</v>
      </c>
      <c r="AB68" s="300">
        <f t="shared" si="10"/>
        <v>110.36863110670019</v>
      </c>
      <c r="AC68" s="146"/>
      <c r="AD68" s="125"/>
      <c r="AE68" s="125"/>
      <c r="AF68" s="46"/>
      <c r="AG68" s="46"/>
      <c r="AH68" s="46"/>
      <c r="AI68" s="146"/>
      <c r="AJ68" s="146"/>
      <c r="AK68" s="146"/>
      <c r="AL68" s="146"/>
      <c r="AM68" s="46"/>
      <c r="AN68" s="46"/>
    </row>
    <row r="69" spans="1:41" ht="12" x14ac:dyDescent="0.25">
      <c r="A69" s="46" t="s">
        <v>113</v>
      </c>
      <c r="G69" s="195"/>
      <c r="H69" s="116">
        <f t="shared" si="1"/>
        <v>16</v>
      </c>
      <c r="J69" s="46" t="str">
        <f t="shared" si="15"/>
        <v>Pokoj obvezno</v>
      </c>
      <c r="L69" s="146"/>
      <c r="M69" s="260"/>
      <c r="N69" s="146"/>
      <c r="O69" s="146" t="e">
        <v>#REF!</v>
      </c>
      <c r="Q69" s="117">
        <v>31.906610519211366</v>
      </c>
      <c r="R69" s="117">
        <v>30.965655315661024</v>
      </c>
      <c r="S69" s="117">
        <v>28.900212202630772</v>
      </c>
      <c r="T69" s="117">
        <v>27.631384628901188</v>
      </c>
      <c r="U69" s="117">
        <v>25.895183685195093</v>
      </c>
      <c r="V69" s="117">
        <v>25.656566055545248</v>
      </c>
      <c r="X69" s="300">
        <f t="shared" si="6"/>
        <v>110.4026859578108</v>
      </c>
      <c r="Y69" s="300">
        <f t="shared" si="7"/>
        <v>107.1468095062715</v>
      </c>
      <c r="Z69" s="300">
        <f t="shared" si="8"/>
        <v>95.609625407476813</v>
      </c>
      <c r="AA69" s="300">
        <f t="shared" si="9"/>
        <v>89.602053796815611</v>
      </c>
      <c r="AB69" s="300">
        <f t="shared" si="10"/>
        <v>88.77639332077203</v>
      </c>
      <c r="AC69" s="146"/>
      <c r="AD69" s="124"/>
      <c r="AE69" s="124"/>
      <c r="AF69" s="45"/>
      <c r="AG69" s="45"/>
      <c r="AH69" s="45"/>
      <c r="AI69" s="45"/>
      <c r="AJ69" s="45"/>
      <c r="AK69" s="45"/>
      <c r="AL69" s="45"/>
      <c r="AM69" s="45"/>
      <c r="AN69" s="45"/>
    </row>
    <row r="70" spans="1:41" s="45" customFormat="1" ht="12" x14ac:dyDescent="0.25">
      <c r="A70" s="46" t="s">
        <v>112</v>
      </c>
      <c r="B70" s="131"/>
      <c r="C70" s="131"/>
      <c r="D70" s="131"/>
      <c r="E70" s="131"/>
      <c r="F70" s="46"/>
      <c r="G70" s="195"/>
      <c r="H70" s="116">
        <f t="shared" si="1"/>
        <v>17</v>
      </c>
      <c r="I70" s="46"/>
      <c r="J70" s="46" t="str">
        <f t="shared" si="15"/>
        <v>Zdrav obvezno</v>
      </c>
      <c r="K70" s="46"/>
      <c r="L70" s="257"/>
      <c r="M70" s="258"/>
      <c r="N70" s="257"/>
      <c r="O70" s="146" t="e">
        <v>#REF!</v>
      </c>
      <c r="P70" s="46"/>
      <c r="Q70" s="117">
        <v>14.594701198787646</v>
      </c>
      <c r="R70" s="117">
        <v>14.164290076647523</v>
      </c>
      <c r="S70" s="117">
        <v>13.219516420429166</v>
      </c>
      <c r="T70" s="117">
        <v>12.639130130252218</v>
      </c>
      <c r="U70" s="117">
        <v>11.844958214711816</v>
      </c>
      <c r="V70" s="117">
        <v>11.735809892504241</v>
      </c>
      <c r="W70" s="46"/>
      <c r="X70" s="300">
        <f t="shared" si="6"/>
        <v>110.40268595781082</v>
      </c>
      <c r="Y70" s="300">
        <f t="shared" si="7"/>
        <v>107.14680950627154</v>
      </c>
      <c r="Z70" s="300">
        <f t="shared" si="8"/>
        <v>95.609625407476855</v>
      </c>
      <c r="AA70" s="300">
        <f t="shared" si="9"/>
        <v>89.602053796815625</v>
      </c>
      <c r="AB70" s="300">
        <f t="shared" si="10"/>
        <v>88.776393320772044</v>
      </c>
      <c r="AC70" s="257"/>
      <c r="AD70" s="125"/>
      <c r="AE70" s="125"/>
      <c r="AF70" s="339" t="s">
        <v>170</v>
      </c>
      <c r="AG70" s="340"/>
      <c r="AH70" s="340"/>
      <c r="AI70" s="340"/>
      <c r="AJ70" s="340"/>
      <c r="AK70" s="340"/>
      <c r="AL70" s="340"/>
      <c r="AM70" s="340"/>
      <c r="AN70" s="340"/>
      <c r="AO70" s="259"/>
    </row>
    <row r="71" spans="1:41" ht="12" x14ac:dyDescent="0.25">
      <c r="A71" s="46" t="s">
        <v>111</v>
      </c>
      <c r="G71" s="195"/>
      <c r="H71" s="116">
        <f t="shared" si="1"/>
        <v>18</v>
      </c>
      <c r="J71" s="46" t="str">
        <f t="shared" si="15"/>
        <v>Pokoj dodatno</v>
      </c>
      <c r="L71" s="146"/>
      <c r="M71" s="260"/>
      <c r="N71" s="146"/>
      <c r="O71" s="146" t="e">
        <v>#REF!</v>
      </c>
      <c r="Q71" s="117">
        <v>26.961524254939807</v>
      </c>
      <c r="R71" s="117">
        <v>26.166404180118359</v>
      </c>
      <c r="S71" s="117">
        <v>24.421076372401725</v>
      </c>
      <c r="T71" s="117">
        <v>23.348899640127115</v>
      </c>
      <c r="U71" s="117">
        <v>21.881785988960814</v>
      </c>
      <c r="V71" s="117">
        <v>21.680150813529476</v>
      </c>
      <c r="X71" s="300">
        <f t="shared" si="6"/>
        <v>110.40268595781077</v>
      </c>
      <c r="Y71" s="300">
        <f t="shared" si="7"/>
        <v>107.14680950627151</v>
      </c>
      <c r="Z71" s="300">
        <f t="shared" si="8"/>
        <v>95.609625407476813</v>
      </c>
      <c r="AA71" s="300">
        <f t="shared" si="9"/>
        <v>89.602053796815582</v>
      </c>
      <c r="AB71" s="300">
        <f t="shared" si="10"/>
        <v>88.776393320772002</v>
      </c>
      <c r="AC71" s="146"/>
      <c r="AD71" s="125"/>
      <c r="AE71" s="125"/>
      <c r="AF71" s="192" t="str">
        <f>"letina "&amp;M52&amp;", upoštevani stroški zmanjšani za subvencije"</f>
        <v>letina , upoštevani stroški zmanjšani za subvencije</v>
      </c>
      <c r="AG71" s="46"/>
      <c r="AH71" s="46"/>
      <c r="AI71" s="46"/>
      <c r="AJ71" s="46"/>
      <c r="AK71" s="46"/>
      <c r="AL71" s="46"/>
      <c r="AM71" s="46"/>
      <c r="AN71" s="46"/>
    </row>
    <row r="72" spans="1:41" s="45" customFormat="1" ht="12" x14ac:dyDescent="0.25">
      <c r="A72" s="46" t="s">
        <v>110</v>
      </c>
      <c r="B72" s="131"/>
      <c r="C72" s="131"/>
      <c r="D72" s="131"/>
      <c r="E72" s="131"/>
      <c r="F72" s="46"/>
      <c r="G72" s="195"/>
      <c r="H72" s="116">
        <f t="shared" si="1"/>
        <v>19</v>
      </c>
      <c r="I72" s="46"/>
      <c r="J72" s="46" t="str">
        <f t="shared" si="15"/>
        <v>Zdrav dodatno</v>
      </c>
      <c r="K72" s="46"/>
      <c r="L72" s="257"/>
      <c r="M72" s="258"/>
      <c r="N72" s="257"/>
      <c r="O72" s="146" t="e">
        <v>#REF!</v>
      </c>
      <c r="P72" s="271"/>
      <c r="Q72" s="117">
        <v>12.332723030162782</v>
      </c>
      <c r="R72" s="117">
        <v>11.969019718518652</v>
      </c>
      <c r="S72" s="117">
        <v>11.170672998730847</v>
      </c>
      <c r="T72" s="117">
        <v>10.680238609580726</v>
      </c>
      <c r="U72" s="117">
        <v>10.00915242978917</v>
      </c>
      <c r="V72" s="117">
        <v>9.9169205979305772</v>
      </c>
      <c r="W72" s="46"/>
      <c r="X72" s="300">
        <f t="shared" si="6"/>
        <v>110.4026859578108</v>
      </c>
      <c r="Y72" s="300">
        <f t="shared" si="7"/>
        <v>107.14680950627155</v>
      </c>
      <c r="Z72" s="300">
        <f t="shared" si="8"/>
        <v>95.609625407476869</v>
      </c>
      <c r="AA72" s="300">
        <f t="shared" si="9"/>
        <v>89.602053796815611</v>
      </c>
      <c r="AB72" s="300">
        <f t="shared" si="10"/>
        <v>88.776393320772044</v>
      </c>
      <c r="AC72" s="257"/>
      <c r="AD72" s="125"/>
      <c r="AE72" s="125"/>
      <c r="AF72" s="46"/>
      <c r="AG72" s="72"/>
      <c r="AH72" s="72"/>
      <c r="AI72" s="72"/>
      <c r="AJ72" s="72"/>
      <c r="AK72" s="72"/>
      <c r="AL72" s="72"/>
      <c r="AM72" s="72"/>
      <c r="AN72" s="72"/>
      <c r="AO72" s="259"/>
    </row>
    <row r="73" spans="1:41" x14ac:dyDescent="0.2">
      <c r="A73" s="46" t="s">
        <v>109</v>
      </c>
      <c r="H73" s="116">
        <f t="shared" si="1"/>
        <v>20</v>
      </c>
      <c r="J73" s="46" t="str">
        <f t="shared" si="15"/>
        <v>Regresi</v>
      </c>
      <c r="L73" s="146"/>
      <c r="M73" s="260"/>
      <c r="N73" s="146"/>
      <c r="O73" s="146" t="e">
        <v>#REF!</v>
      </c>
      <c r="P73" s="117"/>
      <c r="Q73" s="117">
        <v>80.891041735451836</v>
      </c>
      <c r="R73" s="117">
        <v>78.505490735111294</v>
      </c>
      <c r="S73" s="117">
        <v>73.269088549497312</v>
      </c>
      <c r="T73" s="117">
        <v>70.05230110164689</v>
      </c>
      <c r="U73" s="117">
        <v>65.650608138557061</v>
      </c>
      <c r="V73" s="117">
        <v>65.045654233246481</v>
      </c>
      <c r="X73" s="300">
        <f t="shared" si="6"/>
        <v>110.40268595781082</v>
      </c>
      <c r="Y73" s="300">
        <f t="shared" si="7"/>
        <v>107.14680950627154</v>
      </c>
      <c r="Z73" s="300">
        <f t="shared" si="8"/>
        <v>95.609625407476855</v>
      </c>
      <c r="AA73" s="300">
        <f t="shared" si="9"/>
        <v>89.602053796815625</v>
      </c>
      <c r="AB73" s="300">
        <f t="shared" si="10"/>
        <v>88.776393320772044</v>
      </c>
      <c r="AC73" s="146"/>
      <c r="AD73" s="125"/>
      <c r="AE73" s="125"/>
      <c r="AF73" s="46"/>
      <c r="AG73" s="46"/>
      <c r="AH73" s="46"/>
      <c r="AI73" s="46"/>
      <c r="AJ73" s="46"/>
      <c r="AK73" s="46"/>
      <c r="AL73" s="46"/>
      <c r="AM73" s="46"/>
      <c r="AN73" s="46"/>
    </row>
    <row r="74" spans="1:41" ht="12" x14ac:dyDescent="0.25">
      <c r="A74" s="131" t="s">
        <v>28</v>
      </c>
      <c r="H74" s="116">
        <f t="shared" si="1"/>
        <v>21</v>
      </c>
      <c r="J74" s="46" t="str">
        <f t="shared" si="15"/>
        <v>SUM element</v>
      </c>
      <c r="L74" s="146"/>
      <c r="M74" s="260"/>
      <c r="N74" s="146"/>
      <c r="O74" s="251" t="e">
        <v>#REF!</v>
      </c>
      <c r="P74" s="264"/>
      <c r="Q74" s="252">
        <v>2494.2898537864698</v>
      </c>
      <c r="R74" s="252">
        <v>2382.6551143717156</v>
      </c>
      <c r="S74" s="252">
        <v>2232.821380656002</v>
      </c>
      <c r="T74" s="252">
        <v>2131.3792433842154</v>
      </c>
      <c r="U74" s="252">
        <v>2021.3645376747299</v>
      </c>
      <c r="V74" s="252">
        <v>2141.5524305591666</v>
      </c>
      <c r="X74" s="299">
        <f t="shared" si="6"/>
        <v>111.71022793832476</v>
      </c>
      <c r="Y74" s="299">
        <f t="shared" si="7"/>
        <v>106.71051141904115</v>
      </c>
      <c r="Z74" s="299">
        <f t="shared" si="8"/>
        <v>95.456773293617289</v>
      </c>
      <c r="AA74" s="299">
        <f t="shared" si="9"/>
        <v>90.529612229028984</v>
      </c>
      <c r="AB74" s="299">
        <f t="shared" si="10"/>
        <v>95.912393580268358</v>
      </c>
      <c r="AC74" s="146"/>
      <c r="AD74" s="125"/>
      <c r="AE74" s="272"/>
      <c r="AF74" s="72"/>
      <c r="AG74" s="72"/>
      <c r="AH74" s="72"/>
      <c r="AI74" s="72"/>
      <c r="AJ74" s="72"/>
      <c r="AK74" s="72"/>
      <c r="AL74" s="72"/>
      <c r="AM74" s="72"/>
      <c r="AN74" s="72"/>
    </row>
    <row r="75" spans="1:41" x14ac:dyDescent="0.2">
      <c r="A75" s="131" t="s">
        <v>4</v>
      </c>
      <c r="B75" s="220" t="s">
        <v>0</v>
      </c>
      <c r="C75" s="131" t="s">
        <v>2</v>
      </c>
      <c r="D75" s="131" t="s">
        <v>1</v>
      </c>
      <c r="E75" s="131" t="s">
        <v>0</v>
      </c>
      <c r="H75" s="116">
        <f t="shared" si="1"/>
        <v>22</v>
      </c>
      <c r="J75" s="273" t="s">
        <v>50</v>
      </c>
      <c r="L75" s="146"/>
      <c r="M75" s="260"/>
      <c r="N75" s="146"/>
      <c r="O75" s="251" t="e">
        <v>#REF!</v>
      </c>
      <c r="Q75" s="274">
        <v>23.94</v>
      </c>
      <c r="R75" s="274">
        <v>23.94</v>
      </c>
      <c r="S75" s="274">
        <v>23.94</v>
      </c>
      <c r="T75" s="274">
        <v>23.94</v>
      </c>
      <c r="U75" s="274">
        <v>23.94</v>
      </c>
      <c r="V75" s="274">
        <v>23.94</v>
      </c>
      <c r="X75" s="300">
        <f t="shared" si="6"/>
        <v>100</v>
      </c>
      <c r="Y75" s="300">
        <f t="shared" si="7"/>
        <v>100</v>
      </c>
      <c r="Z75" s="300">
        <f t="shared" si="8"/>
        <v>100</v>
      </c>
      <c r="AA75" s="300">
        <f t="shared" si="9"/>
        <v>100</v>
      </c>
      <c r="AB75" s="300">
        <f t="shared" si="10"/>
        <v>100</v>
      </c>
      <c r="AC75" s="146"/>
      <c r="AD75" s="125"/>
      <c r="AE75" s="272"/>
      <c r="AF75" s="72"/>
      <c r="AG75" s="72"/>
      <c r="AH75" s="72"/>
      <c r="AI75" s="72"/>
      <c r="AJ75" s="72"/>
      <c r="AK75" s="72"/>
      <c r="AL75" s="72"/>
      <c r="AM75" s="72"/>
      <c r="AN75" s="72"/>
    </row>
    <row r="76" spans="1:41" ht="13.5" customHeight="1" x14ac:dyDescent="0.25">
      <c r="A76" s="196" t="s">
        <v>29</v>
      </c>
      <c r="H76" s="116">
        <f t="shared" si="1"/>
        <v>23</v>
      </c>
      <c r="J76" s="275" t="s">
        <v>185</v>
      </c>
      <c r="K76" s="46" t="s">
        <v>195</v>
      </c>
      <c r="L76" s="146"/>
      <c r="M76" s="260"/>
      <c r="N76" s="146"/>
      <c r="O76" s="276" t="e">
        <v>#REF!</v>
      </c>
      <c r="P76" s="277"/>
      <c r="Q76" s="276">
        <v>1281</v>
      </c>
      <c r="R76" s="276">
        <v>1189.5</v>
      </c>
      <c r="S76" s="276">
        <v>1098</v>
      </c>
      <c r="T76" s="276">
        <v>1006.5</v>
      </c>
      <c r="U76" s="276">
        <v>915</v>
      </c>
      <c r="V76" s="276">
        <v>1098</v>
      </c>
      <c r="X76" s="248"/>
      <c r="Y76" s="248"/>
      <c r="Z76" s="248"/>
      <c r="AA76" s="248"/>
      <c r="AB76" s="248"/>
      <c r="AC76" s="146"/>
      <c r="AD76" s="124"/>
      <c r="AE76" s="124"/>
      <c r="AF76" s="45"/>
      <c r="AG76" s="45"/>
      <c r="AH76" s="45"/>
      <c r="AI76" s="45"/>
      <c r="AJ76" s="45"/>
      <c r="AK76" s="45"/>
      <c r="AL76" s="45"/>
      <c r="AM76" s="45"/>
      <c r="AN76" s="45"/>
    </row>
    <row r="77" spans="1:41" s="72" customFormat="1" ht="12" x14ac:dyDescent="0.25">
      <c r="A77" s="131"/>
      <c r="B77" s="131"/>
      <c r="C77" s="131"/>
      <c r="D77" s="131"/>
      <c r="E77" s="131"/>
      <c r="F77" s="46"/>
      <c r="G77" s="133"/>
      <c r="H77" s="116">
        <f t="shared" si="1"/>
        <v>24</v>
      </c>
      <c r="I77" s="46"/>
      <c r="K77" s="128"/>
      <c r="L77" s="278"/>
      <c r="M77" s="279"/>
      <c r="N77" s="272"/>
      <c r="O77" s="280" t="e">
        <f>+O62-O75-O76</f>
        <v>#REF!</v>
      </c>
      <c r="P77" s="46" t="s">
        <v>108</v>
      </c>
      <c r="Q77" s="280">
        <f>+Q62-Q75-Q63</f>
        <v>2091.8999750678249</v>
      </c>
      <c r="R77" s="280">
        <f t="shared" ref="R77:V77" si="16">+R62-R75-R63</f>
        <v>2005.4693416460184</v>
      </c>
      <c r="S77" s="280">
        <f t="shared" si="16"/>
        <v>1880.8397139232516</v>
      </c>
      <c r="T77" s="280">
        <f t="shared" si="16"/>
        <v>1813.1324809168743</v>
      </c>
      <c r="U77" s="280">
        <f t="shared" si="16"/>
        <v>1728.3218812003356</v>
      </c>
      <c r="V77" s="280">
        <f t="shared" si="16"/>
        <v>1789.5707638264171</v>
      </c>
      <c r="W77" s="280"/>
      <c r="X77" s="272"/>
      <c r="Y77" s="272"/>
      <c r="Z77" s="272"/>
      <c r="AA77" s="272"/>
      <c r="AB77" s="272"/>
      <c r="AC77" s="257"/>
      <c r="AD77" s="125"/>
      <c r="AE77" s="125"/>
      <c r="AF77" s="46"/>
      <c r="AG77" s="46"/>
      <c r="AH77" s="46"/>
      <c r="AI77" s="46"/>
      <c r="AJ77" s="46"/>
      <c r="AK77" s="46"/>
      <c r="AL77" s="46"/>
      <c r="AM77" s="46"/>
      <c r="AN77" s="46"/>
      <c r="AO77" s="281"/>
    </row>
    <row r="78" spans="1:41" s="72" customFormat="1" ht="12" x14ac:dyDescent="0.25">
      <c r="A78" s="131"/>
      <c r="B78" s="131"/>
      <c r="C78" s="131"/>
      <c r="D78" s="131"/>
      <c r="E78" s="131"/>
      <c r="F78" s="46"/>
      <c r="G78" s="128"/>
      <c r="H78" s="116">
        <f t="shared" si="1"/>
        <v>25</v>
      </c>
      <c r="I78" s="46"/>
      <c r="K78" s="128"/>
      <c r="L78" s="278"/>
      <c r="M78" s="279"/>
      <c r="N78" s="272"/>
      <c r="O78" s="280" t="e">
        <f>O77-O69-O70</f>
        <v>#REF!</v>
      </c>
      <c r="P78" s="46" t="s">
        <v>107</v>
      </c>
      <c r="Q78" s="280">
        <f t="shared" ref="Q78:V78" si="17">Q77-Q69-Q70</f>
        <v>2045.3986633498259</v>
      </c>
      <c r="R78" s="280">
        <f t="shared" si="17"/>
        <v>1960.3393962537098</v>
      </c>
      <c r="S78" s="280">
        <f t="shared" si="17"/>
        <v>1838.7199853001914</v>
      </c>
      <c r="T78" s="280">
        <f t="shared" si="17"/>
        <v>1772.8619661577209</v>
      </c>
      <c r="U78" s="280">
        <f t="shared" si="17"/>
        <v>1690.5817393004286</v>
      </c>
      <c r="V78" s="280">
        <f t="shared" si="17"/>
        <v>1752.1783878783676</v>
      </c>
      <c r="W78" s="280"/>
      <c r="X78" s="272"/>
      <c r="Y78" s="272"/>
      <c r="Z78" s="272"/>
      <c r="AA78" s="272"/>
      <c r="AB78" s="272"/>
      <c r="AC78" s="257"/>
      <c r="AD78" s="125"/>
      <c r="AE78" s="125"/>
      <c r="AF78" s="46"/>
      <c r="AG78" s="46"/>
      <c r="AH78" s="46"/>
      <c r="AI78" s="46"/>
      <c r="AJ78" s="46"/>
      <c r="AK78" s="46"/>
      <c r="AL78" s="46"/>
      <c r="AM78" s="46"/>
      <c r="AN78" s="46"/>
      <c r="AO78" s="281"/>
    </row>
    <row r="79" spans="1:41" s="45" customFormat="1" ht="12" x14ac:dyDescent="0.25">
      <c r="A79" s="131"/>
      <c r="B79" s="131"/>
      <c r="C79" s="131"/>
      <c r="D79" s="131"/>
      <c r="E79" s="131"/>
      <c r="F79" s="46"/>
      <c r="H79" s="116">
        <f t="shared" si="1"/>
        <v>26</v>
      </c>
      <c r="I79" s="46"/>
      <c r="K79" s="46"/>
      <c r="L79" s="257"/>
      <c r="M79" s="258"/>
      <c r="N79" s="272"/>
      <c r="O79" s="280" t="e">
        <f>O78-O71-O72-O73</f>
        <v>#REF!</v>
      </c>
      <c r="P79" s="46" t="s">
        <v>106</v>
      </c>
      <c r="Q79" s="280">
        <f t="shared" ref="Q79:V79" si="18">Q78-Q71-Q72-Q73</f>
        <v>1925.2133743292716</v>
      </c>
      <c r="R79" s="280">
        <f t="shared" si="18"/>
        <v>1843.6984816199613</v>
      </c>
      <c r="S79" s="280">
        <f t="shared" si="18"/>
        <v>1729.8591473795614</v>
      </c>
      <c r="T79" s="280">
        <f t="shared" si="18"/>
        <v>1668.7805268063662</v>
      </c>
      <c r="U79" s="280">
        <f t="shared" si="18"/>
        <v>1593.0401927431215</v>
      </c>
      <c r="V79" s="280">
        <f t="shared" si="18"/>
        <v>1655.535662233661</v>
      </c>
      <c r="W79" s="280"/>
      <c r="X79" s="257"/>
      <c r="Y79" s="257"/>
      <c r="Z79" s="257"/>
      <c r="AA79" s="257"/>
      <c r="AB79" s="257"/>
      <c r="AC79" s="257"/>
      <c r="AD79" s="125"/>
      <c r="AE79" s="125"/>
      <c r="AF79" s="46"/>
      <c r="AG79" s="46"/>
      <c r="AH79" s="46"/>
      <c r="AI79" s="46"/>
      <c r="AJ79" s="46"/>
      <c r="AK79" s="46"/>
      <c r="AL79" s="46"/>
      <c r="AM79" s="46"/>
      <c r="AN79" s="46"/>
      <c r="AO79" s="259"/>
    </row>
    <row r="80" spans="1:41" ht="13.5" customHeight="1" x14ac:dyDescent="0.25">
      <c r="H80" s="116">
        <f t="shared" si="1"/>
        <v>27</v>
      </c>
      <c r="L80" s="146"/>
      <c r="M80" s="260"/>
      <c r="N80" s="146"/>
      <c r="O80" s="282"/>
      <c r="P80" s="277"/>
      <c r="Q80" s="282"/>
      <c r="R80" s="282"/>
      <c r="S80" s="282"/>
      <c r="T80" s="282"/>
      <c r="U80" s="282"/>
      <c r="V80" s="282"/>
      <c r="W80" s="282"/>
      <c r="X80" s="146"/>
      <c r="Y80" s="146"/>
      <c r="Z80" s="146"/>
      <c r="AA80" s="146"/>
      <c r="AB80" s="146"/>
      <c r="AC80" s="257"/>
      <c r="AD80" s="125"/>
      <c r="AE80" s="125"/>
      <c r="AF80" s="46"/>
      <c r="AG80" s="46"/>
      <c r="AH80" s="46"/>
      <c r="AI80" s="46"/>
      <c r="AJ80" s="46"/>
      <c r="AK80" s="46"/>
      <c r="AL80" s="46"/>
      <c r="AM80" s="46"/>
      <c r="AN80" s="46"/>
    </row>
    <row r="81" spans="1:41" ht="12.75" customHeight="1" x14ac:dyDescent="0.25">
      <c r="H81" s="116">
        <f t="shared" si="1"/>
        <v>28</v>
      </c>
      <c r="J81" s="45"/>
      <c r="L81" s="146"/>
      <c r="M81" s="260"/>
      <c r="N81" s="146"/>
      <c r="O81" s="283" t="e">
        <f>+O58&amp;";"&amp;O60</f>
        <v>#REF!</v>
      </c>
      <c r="P81" s="284"/>
      <c r="Q81" s="285" t="str">
        <f>Q58&amp;";"&amp;Q60</f>
        <v>7000;1</v>
      </c>
      <c r="R81" s="285" t="str">
        <f t="shared" ref="R81:V81" si="19">+R58&amp;";"&amp;R60</f>
        <v>6500;1</v>
      </c>
      <c r="S81" s="285" t="str">
        <f t="shared" si="19"/>
        <v>6000;1</v>
      </c>
      <c r="T81" s="285" t="str">
        <f t="shared" si="19"/>
        <v>5500;1</v>
      </c>
      <c r="U81" s="285" t="str">
        <f t="shared" si="19"/>
        <v>5000;1</v>
      </c>
      <c r="V81" s="285" t="str">
        <f t="shared" si="19"/>
        <v>6000;5</v>
      </c>
      <c r="W81" s="283"/>
      <c r="X81" s="146"/>
      <c r="Y81" s="146"/>
      <c r="Z81" s="146"/>
      <c r="AA81" s="146"/>
      <c r="AB81" s="146"/>
      <c r="AC81" s="257"/>
      <c r="AD81" s="125"/>
      <c r="AE81" s="125"/>
      <c r="AF81" s="46"/>
      <c r="AG81" s="46"/>
      <c r="AH81" s="46"/>
      <c r="AI81" s="46"/>
      <c r="AJ81" s="46"/>
      <c r="AK81" s="46"/>
      <c r="AL81" s="46"/>
      <c r="AM81" s="46"/>
      <c r="AN81" s="46"/>
    </row>
    <row r="82" spans="1:41" ht="25.5" customHeight="1" x14ac:dyDescent="0.2">
      <c r="H82" s="116">
        <f t="shared" si="1"/>
        <v>29</v>
      </c>
      <c r="L82" s="146"/>
      <c r="M82" s="260"/>
      <c r="N82" s="146"/>
      <c r="O82" s="286" t="e">
        <f>+O77/O58*1000</f>
        <v>#REF!</v>
      </c>
      <c r="P82" s="273" t="s">
        <v>105</v>
      </c>
      <c r="Q82" s="287">
        <f t="shared" ref="Q82:V82" si="20">+Q77/Q58*1000</f>
        <v>298.84285358111782</v>
      </c>
      <c r="R82" s="287">
        <f t="shared" si="20"/>
        <v>308.53374486861821</v>
      </c>
      <c r="S82" s="287">
        <f t="shared" si="20"/>
        <v>313.47328565387528</v>
      </c>
      <c r="T82" s="287">
        <f t="shared" si="20"/>
        <v>329.66045107579532</v>
      </c>
      <c r="U82" s="287">
        <f t="shared" si="20"/>
        <v>345.66437624006716</v>
      </c>
      <c r="V82" s="287">
        <f t="shared" si="20"/>
        <v>298.26179397106949</v>
      </c>
      <c r="W82" s="286"/>
      <c r="X82" s="146"/>
      <c r="Y82" s="146"/>
      <c r="Z82" s="146"/>
      <c r="AA82" s="146"/>
      <c r="AB82" s="146"/>
      <c r="AC82" s="146"/>
      <c r="AD82" s="125"/>
      <c r="AE82" s="125"/>
      <c r="AF82" s="46"/>
      <c r="AG82" s="46"/>
      <c r="AH82" s="46"/>
      <c r="AI82" s="46"/>
      <c r="AJ82" s="46"/>
      <c r="AK82" s="46"/>
      <c r="AL82" s="46"/>
      <c r="AM82" s="46"/>
      <c r="AN82" s="46"/>
    </row>
    <row r="83" spans="1:41" ht="12" x14ac:dyDescent="0.25">
      <c r="H83" s="116">
        <f t="shared" si="1"/>
        <v>30</v>
      </c>
      <c r="L83" s="146"/>
      <c r="M83" s="260"/>
      <c r="N83" s="146"/>
      <c r="O83" s="286" t="e">
        <f>+O82*O78/O77</f>
        <v>#REF!</v>
      </c>
      <c r="P83" s="273" t="s">
        <v>104</v>
      </c>
      <c r="Q83" s="287">
        <f t="shared" ref="Q83:V83" si="21">+Q82*Q78/Q77</f>
        <v>292.1998090499751</v>
      </c>
      <c r="R83" s="287">
        <f t="shared" si="21"/>
        <v>301.59067634672459</v>
      </c>
      <c r="S83" s="287">
        <f t="shared" si="21"/>
        <v>306.45333088336525</v>
      </c>
      <c r="T83" s="287">
        <f t="shared" si="21"/>
        <v>322.33853930140378</v>
      </c>
      <c r="U83" s="287">
        <f t="shared" si="21"/>
        <v>338.11634786008574</v>
      </c>
      <c r="V83" s="287">
        <f t="shared" si="21"/>
        <v>292.02973131306129</v>
      </c>
      <c r="W83" s="286"/>
      <c r="X83" s="146"/>
      <c r="Y83" s="146"/>
      <c r="Z83" s="146"/>
      <c r="AA83" s="146"/>
      <c r="AB83" s="146"/>
      <c r="AC83" s="146"/>
      <c r="AD83" s="124"/>
      <c r="AE83" s="124"/>
      <c r="AF83" s="45"/>
      <c r="AG83" s="45"/>
      <c r="AH83" s="45"/>
      <c r="AI83" s="45"/>
      <c r="AJ83" s="45"/>
      <c r="AK83" s="45"/>
      <c r="AL83" s="45"/>
      <c r="AM83" s="45"/>
      <c r="AN83" s="45"/>
    </row>
    <row r="84" spans="1:41" x14ac:dyDescent="0.2">
      <c r="H84" s="116">
        <f t="shared" si="1"/>
        <v>31</v>
      </c>
      <c r="L84" s="146"/>
      <c r="M84" s="260"/>
      <c r="N84" s="146"/>
      <c r="O84" s="286" t="e">
        <f>+O82*O79/O77</f>
        <v>#REF!</v>
      </c>
      <c r="P84" s="273" t="s">
        <v>103</v>
      </c>
      <c r="Q84" s="287">
        <f t="shared" ref="Q84:V84" si="22">+Q82*Q79/Q77</f>
        <v>275.03048204703873</v>
      </c>
      <c r="R84" s="287">
        <f t="shared" si="22"/>
        <v>283.64592024922479</v>
      </c>
      <c r="S84" s="287">
        <f t="shared" si="22"/>
        <v>288.30985789659354</v>
      </c>
      <c r="T84" s="287">
        <f t="shared" si="22"/>
        <v>303.4146412375211</v>
      </c>
      <c r="U84" s="287">
        <f t="shared" si="22"/>
        <v>318.60803854862428</v>
      </c>
      <c r="V84" s="287">
        <f t="shared" si="22"/>
        <v>275.92261037227684</v>
      </c>
      <c r="W84" s="286"/>
      <c r="X84" s="146"/>
      <c r="Y84" s="146"/>
      <c r="Z84" s="146"/>
      <c r="AA84" s="146"/>
      <c r="AB84" s="146"/>
      <c r="AC84" s="146"/>
      <c r="AD84" s="125"/>
      <c r="AE84" s="125"/>
      <c r="AF84" s="46"/>
      <c r="AG84" s="46"/>
      <c r="AH84" s="46"/>
      <c r="AI84" s="46"/>
      <c r="AJ84" s="46"/>
      <c r="AK84" s="46"/>
      <c r="AL84" s="46"/>
      <c r="AM84" s="46"/>
      <c r="AN84" s="46"/>
    </row>
    <row r="85" spans="1:41" ht="12" x14ac:dyDescent="0.25">
      <c r="H85" s="116">
        <f t="shared" si="1"/>
        <v>32</v>
      </c>
      <c r="L85" s="146"/>
      <c r="M85" s="260"/>
      <c r="N85" s="146"/>
      <c r="O85" s="286" t="e">
        <f>+O82-O84</f>
        <v>#REF!</v>
      </c>
      <c r="P85" s="273" t="s">
        <v>102</v>
      </c>
      <c r="Q85" s="287">
        <f t="shared" ref="Q85:V85" si="23">+Q82-Q84</f>
        <v>23.812371534079091</v>
      </c>
      <c r="R85" s="287">
        <f t="shared" si="23"/>
        <v>24.887824619393427</v>
      </c>
      <c r="S85" s="287">
        <f t="shared" si="23"/>
        <v>25.163427757281738</v>
      </c>
      <c r="T85" s="287">
        <f t="shared" si="23"/>
        <v>26.245809838274226</v>
      </c>
      <c r="U85" s="287">
        <f t="shared" si="23"/>
        <v>27.056337691442877</v>
      </c>
      <c r="V85" s="287">
        <f t="shared" si="23"/>
        <v>22.339183598792658</v>
      </c>
      <c r="W85" s="286"/>
      <c r="X85" s="146"/>
      <c r="Y85" s="146"/>
      <c r="Z85" s="146"/>
      <c r="AA85" s="146"/>
      <c r="AB85" s="146"/>
      <c r="AC85" s="146"/>
      <c r="AD85" s="124"/>
      <c r="AE85" s="124"/>
      <c r="AF85" s="45"/>
      <c r="AG85" s="45"/>
      <c r="AH85" s="45"/>
      <c r="AI85" s="45"/>
      <c r="AJ85" s="45"/>
      <c r="AK85" s="45"/>
      <c r="AL85" s="45"/>
      <c r="AM85" s="45"/>
      <c r="AN85" s="45"/>
    </row>
    <row r="86" spans="1:41" s="45" customFormat="1" ht="12" x14ac:dyDescent="0.25">
      <c r="A86" s="131"/>
      <c r="B86" s="131"/>
      <c r="C86" s="131"/>
      <c r="D86" s="131"/>
      <c r="E86" s="131"/>
      <c r="F86" s="46"/>
      <c r="H86" s="116">
        <f t="shared" si="1"/>
        <v>33</v>
      </c>
      <c r="I86" s="46"/>
      <c r="W86" s="288"/>
      <c r="X86" s="257"/>
      <c r="Y86" s="257"/>
      <c r="Z86" s="257"/>
      <c r="AA86" s="257"/>
      <c r="AB86" s="257"/>
      <c r="AC86" s="257"/>
      <c r="AD86" s="125"/>
      <c r="AE86" s="125"/>
      <c r="AF86" s="339" t="s">
        <v>171</v>
      </c>
      <c r="AG86" s="340"/>
      <c r="AH86" s="340"/>
      <c r="AI86" s="340"/>
      <c r="AJ86" s="340"/>
      <c r="AK86" s="340"/>
      <c r="AL86" s="340"/>
      <c r="AM86" s="340"/>
      <c r="AN86" s="340"/>
      <c r="AO86" s="259"/>
    </row>
    <row r="87" spans="1:41" ht="12" x14ac:dyDescent="0.25">
      <c r="A87" s="131" t="s">
        <v>30</v>
      </c>
      <c r="F87" s="197">
        <v>1000</v>
      </c>
      <c r="H87" s="116">
        <f t="shared" si="1"/>
        <v>34</v>
      </c>
      <c r="J87" s="289" t="s">
        <v>101</v>
      </c>
      <c r="L87" s="146"/>
      <c r="M87" s="260"/>
      <c r="N87" s="121"/>
      <c r="O87" s="290" t="e">
        <v>#REF!</v>
      </c>
      <c r="P87" s="289" t="str">
        <f>J87</f>
        <v>Odkupna cena; vir podatkov SURS; preračuni KIS</v>
      </c>
      <c r="Q87" s="290">
        <v>183</v>
      </c>
      <c r="R87" s="290">
        <v>183</v>
      </c>
      <c r="S87" s="290">
        <v>183</v>
      </c>
      <c r="T87" s="290">
        <v>183</v>
      </c>
      <c r="U87" s="290">
        <v>183</v>
      </c>
      <c r="V87" s="290">
        <v>183</v>
      </c>
      <c r="W87" s="288"/>
      <c r="X87" s="146"/>
      <c r="Y87" s="146"/>
      <c r="Z87" s="146"/>
      <c r="AA87" s="146"/>
      <c r="AB87" s="146"/>
      <c r="AC87" s="146"/>
      <c r="AD87" s="125"/>
      <c r="AE87" s="125"/>
      <c r="AF87" s="192" t="str">
        <f>"letina "&amp;M52</f>
        <v xml:space="preserve">letina </v>
      </c>
      <c r="AG87" s="46"/>
      <c r="AH87" s="46"/>
      <c r="AI87" s="46"/>
      <c r="AJ87" s="46"/>
      <c r="AK87" s="46"/>
      <c r="AL87" s="46"/>
      <c r="AM87" s="46"/>
      <c r="AN87" s="46"/>
    </row>
    <row r="88" spans="1:41" s="45" customFormat="1" ht="12" x14ac:dyDescent="0.25">
      <c r="A88" s="131"/>
      <c r="B88" s="131"/>
      <c r="C88" s="131"/>
      <c r="D88" s="131"/>
      <c r="E88" s="131"/>
      <c r="F88" s="46"/>
      <c r="H88" s="116">
        <f t="shared" si="1"/>
        <v>35</v>
      </c>
      <c r="I88" s="46"/>
      <c r="J88" s="291" t="s">
        <v>167</v>
      </c>
      <c r="K88" s="46"/>
      <c r="L88" s="257"/>
      <c r="M88" s="258"/>
      <c r="N88" s="257"/>
      <c r="O88" s="292" t="e">
        <f>O76+O75+O63-O61</f>
        <v>#REF!</v>
      </c>
      <c r="P88" s="293"/>
      <c r="Q88" s="292">
        <f t="shared" ref="Q88:V88" si="24">Q76+Q75+Q63-Q61</f>
        <v>-228.36196619336511</v>
      </c>
      <c r="R88" s="292">
        <f t="shared" si="24"/>
        <v>-246.15060583105173</v>
      </c>
      <c r="S88" s="292">
        <f t="shared" si="24"/>
        <v>-245.21242504531233</v>
      </c>
      <c r="T88" s="292">
        <f t="shared" si="24"/>
        <v>-287.37646316099995</v>
      </c>
      <c r="U88" s="292">
        <f t="shared" si="24"/>
        <v>-319.31236533475635</v>
      </c>
      <c r="V88" s="292">
        <f t="shared" si="24"/>
        <v>-217.76539877675577</v>
      </c>
      <c r="W88" s="294"/>
      <c r="X88" s="257"/>
      <c r="Y88" s="257"/>
      <c r="Z88" s="257"/>
      <c r="AA88" s="257"/>
      <c r="AB88" s="257"/>
      <c r="AC88" s="257"/>
      <c r="AD88" s="257"/>
      <c r="AE88" s="257"/>
      <c r="AF88" s="257"/>
      <c r="AG88" s="257"/>
      <c r="AH88" s="257"/>
      <c r="AI88" s="257"/>
      <c r="AJ88" s="257"/>
      <c r="AK88" s="257"/>
      <c r="AL88" s="257"/>
      <c r="AM88" s="257"/>
      <c r="AN88" s="145"/>
      <c r="AO88" s="259"/>
    </row>
    <row r="89" spans="1:41" x14ac:dyDescent="0.2">
      <c r="A89" s="196" t="s">
        <v>26</v>
      </c>
      <c r="H89" s="116">
        <f t="shared" ref="H89" si="25">H88+1</f>
        <v>36</v>
      </c>
      <c r="J89" s="275" t="s">
        <v>26</v>
      </c>
      <c r="L89" s="146"/>
      <c r="M89" s="260"/>
      <c r="N89" s="146"/>
      <c r="O89" s="295" t="e">
        <v>#REF!</v>
      </c>
      <c r="P89" s="296"/>
      <c r="Q89" s="295">
        <v>148.16448969479762</v>
      </c>
      <c r="R89" s="295">
        <v>146.23950604727759</v>
      </c>
      <c r="S89" s="295">
        <v>138.26788117992095</v>
      </c>
      <c r="T89" s="295">
        <v>134.56849701677558</v>
      </c>
      <c r="U89" s="295">
        <v>128.8859542016161</v>
      </c>
      <c r="V89" s="295">
        <v>114.9196470114522</v>
      </c>
      <c r="W89" s="114"/>
      <c r="X89" s="146"/>
      <c r="Y89" s="146"/>
      <c r="Z89" s="146"/>
      <c r="AA89" s="146"/>
      <c r="AB89" s="146"/>
      <c r="AC89" s="146"/>
      <c r="AD89" s="146"/>
      <c r="AE89" s="146"/>
      <c r="AF89" s="146"/>
      <c r="AG89" s="146"/>
      <c r="AH89" s="146"/>
      <c r="AI89" s="146"/>
      <c r="AJ89" s="146"/>
      <c r="AK89" s="146"/>
      <c r="AL89" s="146"/>
      <c r="AM89" s="146"/>
      <c r="AN89" s="145"/>
    </row>
    <row r="90" spans="1:41" ht="12" x14ac:dyDescent="0.25">
      <c r="G90" s="146"/>
      <c r="H90" s="116">
        <f t="shared" si="1"/>
        <v>37</v>
      </c>
      <c r="J90" s="46" t="s">
        <v>36</v>
      </c>
      <c r="K90" s="128"/>
      <c r="L90" s="146"/>
      <c r="M90" s="260"/>
      <c r="N90" s="146"/>
      <c r="O90" s="133" t="e">
        <f>+O88-O89</f>
        <v>#REF!</v>
      </c>
      <c r="Q90" s="133">
        <f>+Q88-Q89</f>
        <v>-376.52645588816273</v>
      </c>
      <c r="R90" s="133">
        <f t="shared" ref="R90:V90" si="26">+R88-R89</f>
        <v>-392.39011187832932</v>
      </c>
      <c r="S90" s="133">
        <f t="shared" si="26"/>
        <v>-383.48030622523328</v>
      </c>
      <c r="T90" s="133">
        <f t="shared" si="26"/>
        <v>-421.94496017777556</v>
      </c>
      <c r="U90" s="133">
        <f t="shared" si="26"/>
        <v>-448.19831953637242</v>
      </c>
      <c r="V90" s="133">
        <f t="shared" si="26"/>
        <v>-332.68504578820796</v>
      </c>
      <c r="W90" s="114"/>
      <c r="X90" s="146"/>
      <c r="Y90" s="146"/>
      <c r="Z90" s="146"/>
      <c r="AA90" s="146"/>
      <c r="AB90" s="146"/>
      <c r="AC90" s="146"/>
      <c r="AD90" s="186"/>
      <c r="AE90" s="186"/>
      <c r="AF90" s="46"/>
      <c r="AG90" s="46"/>
      <c r="AH90" s="46"/>
      <c r="AI90" s="46"/>
      <c r="AJ90" s="46"/>
      <c r="AK90" s="46"/>
      <c r="AL90" s="46"/>
      <c r="AM90" s="46"/>
      <c r="AN90" s="46"/>
    </row>
    <row r="91" spans="1:41" ht="12" customHeight="1" x14ac:dyDescent="0.25">
      <c r="A91" s="213"/>
      <c r="B91" s="213"/>
      <c r="C91" s="213"/>
      <c r="D91" s="213"/>
      <c r="E91" s="213"/>
      <c r="F91" s="145"/>
      <c r="G91" s="145"/>
      <c r="H91" s="145">
        <f>1</f>
        <v>1</v>
      </c>
      <c r="I91" s="145" t="str">
        <f>+J93</f>
        <v>Ječmen tržni</v>
      </c>
      <c r="J91" s="144" t="s">
        <v>148</v>
      </c>
      <c r="K91" s="145"/>
      <c r="L91" s="145"/>
      <c r="M91" s="145"/>
      <c r="N91" s="145"/>
      <c r="O91" s="238">
        <f>O99-O111+O104-'2023'!E65</f>
        <v>3.2516363636363621E-2</v>
      </c>
      <c r="P91" s="145"/>
      <c r="Q91" s="238">
        <f>Q99-Q111+Q104-'2023'!H65</f>
        <v>2.7513846153391364E-2</v>
      </c>
      <c r="R91" s="238">
        <f>R99-R111+R104-'2023'!I65</f>
        <v>2.9806666666666648E-2</v>
      </c>
      <c r="S91" s="238">
        <f>S99-S111+S104-'2023'!J65</f>
        <v>3.2516363636363621E-2</v>
      </c>
      <c r="T91" s="238">
        <f>T99-T111+T104-'2023'!K65</f>
        <v>3.5768000000227396E-2</v>
      </c>
      <c r="U91" s="238">
        <f>U99-U111+U104-'2023'!L65</f>
        <v>3.974222222131274E-2</v>
      </c>
      <c r="V91" s="238">
        <f>V99-V111+V104-'2023'!M65</f>
        <v>3.25163636356815E-2</v>
      </c>
      <c r="W91" s="145"/>
      <c r="X91" s="145"/>
      <c r="Y91" s="145"/>
      <c r="Z91" s="145"/>
      <c r="AA91" s="145"/>
      <c r="AB91" s="145"/>
      <c r="AC91" s="145"/>
      <c r="AD91" s="239"/>
      <c r="AE91" s="240"/>
      <c r="AF91" s="46"/>
      <c r="AG91" s="46"/>
      <c r="AH91" s="46"/>
      <c r="AI91" s="46"/>
      <c r="AJ91" s="46"/>
      <c r="AK91" s="46"/>
      <c r="AL91" s="46"/>
      <c r="AM91" s="46"/>
      <c r="AN91" s="46"/>
      <c r="AO91" s="46"/>
    </row>
    <row r="92" spans="1:41" ht="12" x14ac:dyDescent="0.25">
      <c r="G92" s="112"/>
      <c r="H92" s="116">
        <f>H91+1</f>
        <v>2</v>
      </c>
      <c r="I92" s="46" t="str">
        <f>+I91</f>
        <v>Ječmen tržni</v>
      </c>
      <c r="J92" s="118" t="s">
        <v>149</v>
      </c>
      <c r="K92" s="119"/>
      <c r="L92" s="119"/>
      <c r="M92" s="241"/>
      <c r="N92" s="119"/>
      <c r="O92" s="297" t="e">
        <f>#REF!</f>
        <v>#REF!</v>
      </c>
      <c r="Q92" s="242" t="e">
        <f>#REF!</f>
        <v>#REF!</v>
      </c>
      <c r="R92" s="242" t="e">
        <f>#REF!</f>
        <v>#REF!</v>
      </c>
      <c r="S92" s="242" t="e">
        <f>#REF!</f>
        <v>#REF!</v>
      </c>
      <c r="T92" s="242" t="e">
        <f>#REF!</f>
        <v>#REF!</v>
      </c>
      <c r="U92" s="242" t="e">
        <f>#REF!</f>
        <v>#REF!</v>
      </c>
      <c r="V92" s="242" t="e">
        <f>#REF!</f>
        <v>#REF!</v>
      </c>
      <c r="W92" s="119"/>
      <c r="X92" s="119"/>
      <c r="Y92" s="119"/>
      <c r="Z92" s="119"/>
      <c r="AA92" s="119"/>
      <c r="AB92" s="119"/>
      <c r="AD92" s="240"/>
      <c r="AE92" s="240"/>
      <c r="AF92" s="46"/>
      <c r="AG92" s="46"/>
      <c r="AH92" s="46"/>
      <c r="AI92" s="46"/>
      <c r="AJ92" s="46"/>
      <c r="AK92" s="46"/>
      <c r="AL92" s="46"/>
      <c r="AM92" s="46"/>
      <c r="AN92" s="46"/>
    </row>
    <row r="93" spans="1:41" ht="12" x14ac:dyDescent="0.25">
      <c r="F93" s="46" t="e">
        <f>#REF!</f>
        <v>#REF!</v>
      </c>
      <c r="G93" s="112"/>
      <c r="H93" s="116">
        <f t="shared" ref="H93:H127" si="27">H92+1</f>
        <v>3</v>
      </c>
      <c r="I93" s="46" t="str">
        <f>+I92</f>
        <v>Ječmen tržni</v>
      </c>
      <c r="J93" s="122" t="s">
        <v>262</v>
      </c>
      <c r="K93" s="46" t="str">
        <f>+K$56</f>
        <v>Enota</v>
      </c>
      <c r="L93" s="186"/>
      <c r="M93" s="243"/>
      <c r="N93" s="237"/>
      <c r="O93" s="191"/>
      <c r="P93" s="191"/>
      <c r="R93" s="191"/>
      <c r="S93" s="186">
        <f>+$S$56</f>
        <v>2023</v>
      </c>
      <c r="U93" s="191"/>
      <c r="V93" s="191"/>
      <c r="W93" s="191"/>
      <c r="X93" s="237" t="s">
        <v>93</v>
      </c>
      <c r="Y93" s="186"/>
      <c r="Z93" s="186"/>
      <c r="AD93" s="240"/>
      <c r="AE93" s="240"/>
      <c r="AF93" s="46"/>
      <c r="AG93" s="46"/>
      <c r="AH93" s="46"/>
      <c r="AI93" s="46"/>
      <c r="AJ93" s="46"/>
      <c r="AK93" s="46"/>
      <c r="AL93" s="46"/>
      <c r="AM93" s="46"/>
      <c r="AN93" s="46"/>
    </row>
    <row r="94" spans="1:41" ht="12" x14ac:dyDescent="0.25">
      <c r="G94" s="115"/>
      <c r="H94" s="116">
        <f t="shared" si="27"/>
        <v>4</v>
      </c>
      <c r="I94" s="46" t="str">
        <f>+I93</f>
        <v>Ječmen tržni</v>
      </c>
      <c r="J94" s="45" t="str">
        <f>+J57</f>
        <v>Model</v>
      </c>
      <c r="L94" s="186"/>
      <c r="M94" s="243"/>
      <c r="N94" s="237"/>
      <c r="O94" s="191"/>
      <c r="P94" s="191"/>
      <c r="Q94" s="186" t="s">
        <v>83</v>
      </c>
      <c r="R94" s="186" t="s">
        <v>82</v>
      </c>
      <c r="S94" s="186" t="s">
        <v>81</v>
      </c>
      <c r="T94" s="186" t="s">
        <v>80</v>
      </c>
      <c r="U94" s="186" t="s">
        <v>97</v>
      </c>
      <c r="V94" s="186" t="s">
        <v>158</v>
      </c>
      <c r="W94" s="191"/>
      <c r="X94" s="186" t="str">
        <f>+Q94</f>
        <v>M 1</v>
      </c>
      <c r="Y94" s="186" t="str">
        <f>+R94</f>
        <v>M 2</v>
      </c>
      <c r="Z94" s="186" t="str">
        <f>+T94</f>
        <v>M 4</v>
      </c>
      <c r="AA94" s="186" t="str">
        <f t="shared" ref="AA94:AB94" si="28">+U94</f>
        <v>M5</v>
      </c>
      <c r="AB94" s="186" t="str">
        <f t="shared" si="28"/>
        <v>M6</v>
      </c>
      <c r="AD94" s="240"/>
      <c r="AE94" s="240"/>
      <c r="AF94" s="46"/>
      <c r="AG94" s="46"/>
      <c r="AH94" s="46"/>
      <c r="AI94" s="46"/>
      <c r="AJ94" s="46"/>
      <c r="AK94" s="46"/>
      <c r="AL94" s="46"/>
      <c r="AM94" s="46"/>
      <c r="AN94" s="46"/>
    </row>
    <row r="95" spans="1:41" ht="12" x14ac:dyDescent="0.25">
      <c r="A95" s="131" t="s">
        <v>22</v>
      </c>
      <c r="G95" s="115"/>
      <c r="H95" s="116">
        <f t="shared" si="27"/>
        <v>5</v>
      </c>
      <c r="I95" s="46" t="str">
        <f>+I94</f>
        <v>Ječmen tržni</v>
      </c>
      <c r="J95" s="45" t="str">
        <f t="shared" ref="J95:J111" si="29">+J58</f>
        <v>Intenzivnost pridelave</v>
      </c>
      <c r="K95" s="46" t="s">
        <v>20</v>
      </c>
      <c r="L95" s="245"/>
      <c r="M95" s="298"/>
      <c r="N95" s="247"/>
      <c r="O95" s="252">
        <v>5500</v>
      </c>
      <c r="Q95" s="252">
        <v>6500</v>
      </c>
      <c r="R95" s="252">
        <v>6000</v>
      </c>
      <c r="S95" s="252">
        <v>5500</v>
      </c>
      <c r="T95" s="252">
        <v>5000</v>
      </c>
      <c r="U95" s="252">
        <v>4500</v>
      </c>
      <c r="V95" s="252">
        <v>5500</v>
      </c>
      <c r="W95" s="186"/>
      <c r="X95" s="299">
        <f>Q95/$S95*100</f>
        <v>118.18181818181819</v>
      </c>
      <c r="Y95" s="299">
        <f t="shared" ref="Y95" si="30">R95/$S95*100</f>
        <v>109.09090909090908</v>
      </c>
      <c r="Z95" s="299">
        <f t="shared" ref="Z95:AB96" si="31">T95/$S95*100</f>
        <v>90.909090909090907</v>
      </c>
      <c r="AA95" s="299">
        <f t="shared" si="31"/>
        <v>81.818181818181827</v>
      </c>
      <c r="AB95" s="299">
        <f t="shared" si="31"/>
        <v>100</v>
      </c>
      <c r="AD95" s="146"/>
      <c r="AE95" s="146"/>
      <c r="AF95" s="46"/>
      <c r="AG95" s="46"/>
      <c r="AH95" s="46"/>
      <c r="AI95" s="46"/>
      <c r="AJ95" s="46"/>
      <c r="AK95" s="46"/>
      <c r="AL95" s="46"/>
      <c r="AM95" s="46"/>
      <c r="AN95" s="46"/>
    </row>
    <row r="96" spans="1:41" ht="12" x14ac:dyDescent="0.25">
      <c r="A96" s="131" t="s">
        <v>95</v>
      </c>
      <c r="G96" s="115"/>
      <c r="H96" s="116">
        <f t="shared" si="27"/>
        <v>6</v>
      </c>
      <c r="J96" s="45" t="str">
        <f t="shared" si="29"/>
        <v>Stranski pridelki</v>
      </c>
      <c r="K96" s="46" t="s">
        <v>20</v>
      </c>
      <c r="L96" s="245"/>
      <c r="M96" s="298"/>
      <c r="N96" s="247"/>
      <c r="O96" s="252">
        <v>2750</v>
      </c>
      <c r="Q96" s="252">
        <v>3250</v>
      </c>
      <c r="R96" s="252">
        <v>3000</v>
      </c>
      <c r="S96" s="252">
        <v>2750</v>
      </c>
      <c r="T96" s="252">
        <v>2500</v>
      </c>
      <c r="U96" s="252">
        <v>2250</v>
      </c>
      <c r="V96" s="252">
        <v>2750</v>
      </c>
      <c r="W96" s="186"/>
      <c r="X96" s="300">
        <f>Q96/$S96*100</f>
        <v>118.18181818181819</v>
      </c>
      <c r="Y96" s="300">
        <f t="shared" ref="Y96" si="32">R96/$S96*100</f>
        <v>109.09090909090908</v>
      </c>
      <c r="Z96" s="300">
        <f t="shared" si="31"/>
        <v>90.909090909090907</v>
      </c>
      <c r="AA96" s="300">
        <f t="shared" si="31"/>
        <v>81.818181818181827</v>
      </c>
      <c r="AB96" s="300">
        <f t="shared" si="31"/>
        <v>100</v>
      </c>
      <c r="AD96" s="191"/>
      <c r="AE96" s="191"/>
      <c r="AF96" s="46"/>
      <c r="AG96" s="46"/>
      <c r="AH96" s="46"/>
      <c r="AI96" s="46"/>
      <c r="AJ96" s="46"/>
      <c r="AK96" s="46"/>
      <c r="AL96" s="46"/>
      <c r="AM96" s="46"/>
      <c r="AN96" s="46"/>
    </row>
    <row r="97" spans="1:41" ht="12" x14ac:dyDescent="0.25">
      <c r="A97" s="131" t="s">
        <v>91</v>
      </c>
      <c r="G97" s="115"/>
      <c r="H97" s="116">
        <f t="shared" si="27"/>
        <v>7</v>
      </c>
      <c r="I97" s="46" t="str">
        <f>+I95</f>
        <v>Ječmen tržni</v>
      </c>
      <c r="J97" s="45" t="str">
        <f t="shared" si="29"/>
        <v>Velikost parcele</v>
      </c>
      <c r="K97" s="46" t="s">
        <v>89</v>
      </c>
      <c r="L97" s="186"/>
      <c r="M97" s="243"/>
      <c r="N97" s="237"/>
      <c r="O97" s="252">
        <v>1</v>
      </c>
      <c r="Q97" s="252">
        <v>1</v>
      </c>
      <c r="R97" s="252">
        <v>1</v>
      </c>
      <c r="S97" s="252">
        <v>1</v>
      </c>
      <c r="T97" s="252">
        <v>1</v>
      </c>
      <c r="U97" s="252">
        <v>1</v>
      </c>
      <c r="V97" s="252">
        <v>5</v>
      </c>
      <c r="W97" s="245"/>
      <c r="X97" s="300">
        <f t="shared" ref="X97:X113" si="33">Q97/$S97*100</f>
        <v>100</v>
      </c>
      <c r="Y97" s="300">
        <f t="shared" ref="Y97:Y113" si="34">R97/$S97*100</f>
        <v>100</v>
      </c>
      <c r="Z97" s="300">
        <f t="shared" ref="Z97:AB113" si="35">T97/$S97*100</f>
        <v>100</v>
      </c>
      <c r="AA97" s="300">
        <f t="shared" si="35"/>
        <v>100</v>
      </c>
      <c r="AB97" s="300">
        <f t="shared" si="35"/>
        <v>500</v>
      </c>
      <c r="AD97" s="124"/>
      <c r="AE97" s="124"/>
      <c r="AF97" s="45"/>
      <c r="AG97" s="45"/>
      <c r="AH97" s="45"/>
      <c r="AI97" s="45"/>
      <c r="AJ97" s="45"/>
      <c r="AK97" s="45"/>
      <c r="AL97" s="45"/>
      <c r="AM97" s="45"/>
      <c r="AN97" s="45"/>
    </row>
    <row r="98" spans="1:41" ht="12" x14ac:dyDescent="0.25">
      <c r="A98" s="196" t="s">
        <v>27</v>
      </c>
      <c r="H98" s="116">
        <f t="shared" si="27"/>
        <v>8</v>
      </c>
      <c r="I98" s="46" t="str">
        <f>+I93</f>
        <v>Ječmen tržni</v>
      </c>
      <c r="J98" s="45" t="str">
        <f t="shared" si="29"/>
        <v>Kupljen material in storitve</v>
      </c>
      <c r="L98" s="146"/>
      <c r="M98" s="260"/>
      <c r="N98" s="146"/>
      <c r="O98" s="252">
        <v>1554.682467820566</v>
      </c>
      <c r="P98" s="146"/>
      <c r="Q98" s="252">
        <v>1729.7210435869331</v>
      </c>
      <c r="R98" s="252">
        <v>1644.7585056506966</v>
      </c>
      <c r="S98" s="252">
        <v>1554.682467820566</v>
      </c>
      <c r="T98" s="252">
        <v>1472.6042224488267</v>
      </c>
      <c r="U98" s="252">
        <v>1377.92506749924</v>
      </c>
      <c r="V98" s="252">
        <v>1507.3823916041022</v>
      </c>
      <c r="W98" s="249"/>
      <c r="X98" s="299">
        <f t="shared" si="33"/>
        <v>111.25879910460077</v>
      </c>
      <c r="Y98" s="299">
        <f t="shared" si="34"/>
        <v>105.79385435254854</v>
      </c>
      <c r="Z98" s="299">
        <f t="shared" si="35"/>
        <v>94.720578184251295</v>
      </c>
      <c r="AA98" s="299">
        <f t="shared" si="35"/>
        <v>88.630642978233766</v>
      </c>
      <c r="AB98" s="299">
        <f t="shared" si="35"/>
        <v>96.957573189670583</v>
      </c>
      <c r="AD98" s="125"/>
      <c r="AE98" s="125"/>
      <c r="AF98" s="46"/>
      <c r="AG98" s="46"/>
      <c r="AH98" s="46"/>
      <c r="AI98" s="46"/>
      <c r="AJ98" s="46"/>
      <c r="AK98" s="46"/>
      <c r="AL98" s="46"/>
      <c r="AM98" s="46"/>
      <c r="AN98" s="46"/>
    </row>
    <row r="99" spans="1:41" s="45" customFormat="1" ht="12" x14ac:dyDescent="0.25">
      <c r="A99" s="131" t="s">
        <v>6</v>
      </c>
      <c r="B99" s="131"/>
      <c r="C99" s="131"/>
      <c r="D99" s="131"/>
      <c r="E99" s="131"/>
      <c r="F99" s="46"/>
      <c r="G99" s="46"/>
      <c r="H99" s="116">
        <f t="shared" si="27"/>
        <v>9</v>
      </c>
      <c r="I99" s="46" t="str">
        <f t="shared" ref="I99:I104" si="36">+I98</f>
        <v>Ječmen tržni</v>
      </c>
      <c r="J99" s="45" t="str">
        <f t="shared" si="29"/>
        <v>Stroški skupaj</v>
      </c>
      <c r="K99" s="46" t="str">
        <f>+K$62</f>
        <v>EUR/ha</v>
      </c>
      <c r="L99" s="146"/>
      <c r="M99" s="260"/>
      <c r="N99" s="257"/>
      <c r="O99" s="252">
        <v>2101.9685243427698</v>
      </c>
      <c r="P99" s="257"/>
      <c r="Q99" s="252">
        <v>2339.9592906948196</v>
      </c>
      <c r="R99" s="252">
        <v>2223.0888041791623</v>
      </c>
      <c r="S99" s="252">
        <v>2101.9685243427698</v>
      </c>
      <c r="T99" s="252">
        <v>2007.1654406264645</v>
      </c>
      <c r="U99" s="252">
        <v>1876.778389033454</v>
      </c>
      <c r="V99" s="252">
        <v>1908.6217194243416</v>
      </c>
      <c r="W99" s="294"/>
      <c r="X99" s="300">
        <f t="shared" si="33"/>
        <v>111.32228021475552</v>
      </c>
      <c r="Y99" s="300">
        <f t="shared" si="34"/>
        <v>105.76223090087724</v>
      </c>
      <c r="Z99" s="300">
        <f t="shared" si="35"/>
        <v>95.489795274363217</v>
      </c>
      <c r="AA99" s="300">
        <f t="shared" si="35"/>
        <v>89.286702788295713</v>
      </c>
      <c r="AB99" s="300">
        <f t="shared" si="35"/>
        <v>90.801631771394739</v>
      </c>
      <c r="AD99" s="125"/>
      <c r="AE99" s="125"/>
      <c r="AF99" s="46"/>
      <c r="AG99" s="46"/>
      <c r="AH99" s="46"/>
      <c r="AI99" s="46"/>
      <c r="AJ99" s="46"/>
      <c r="AK99" s="46"/>
      <c r="AL99" s="46"/>
      <c r="AM99" s="46"/>
      <c r="AN99" s="46"/>
      <c r="AO99" s="259"/>
    </row>
    <row r="100" spans="1:41" ht="12" x14ac:dyDescent="0.25">
      <c r="A100" s="131" t="s">
        <v>5</v>
      </c>
      <c r="H100" s="116">
        <f t="shared" si="27"/>
        <v>10</v>
      </c>
      <c r="I100" s="46" t="str">
        <f t="shared" si="36"/>
        <v>Ječmen tržni</v>
      </c>
      <c r="J100" s="45" t="str">
        <f t="shared" si="29"/>
        <v>Stranski pridelki</v>
      </c>
      <c r="K100" s="46" t="str">
        <f>+K$63</f>
        <v>EUR/ha</v>
      </c>
      <c r="L100" s="146"/>
      <c r="M100" s="260"/>
      <c r="N100" s="146"/>
      <c r="O100" s="252">
        <v>294.30676246734066</v>
      </c>
      <c r="P100" s="146"/>
      <c r="Q100" s="252">
        <v>353.24577272569672</v>
      </c>
      <c r="R100" s="252">
        <v>328.04166673274983</v>
      </c>
      <c r="S100" s="252">
        <v>294.30676246734066</v>
      </c>
      <c r="T100" s="252">
        <v>269.10265647439371</v>
      </c>
      <c r="U100" s="252">
        <v>243.89855048144682</v>
      </c>
      <c r="V100" s="252">
        <v>304.74089777815425</v>
      </c>
      <c r="W100" s="114"/>
      <c r="X100" s="300">
        <f t="shared" si="33"/>
        <v>120.02638667363159</v>
      </c>
      <c r="Y100" s="300">
        <f t="shared" si="34"/>
        <v>111.46249715181204</v>
      </c>
      <c r="Z100" s="300">
        <f t="shared" si="35"/>
        <v>91.436110478180439</v>
      </c>
      <c r="AA100" s="300">
        <f t="shared" si="35"/>
        <v>82.872220956360906</v>
      </c>
      <c r="AB100" s="300">
        <f t="shared" si="35"/>
        <v>103.5453263877929</v>
      </c>
      <c r="AD100" s="125"/>
      <c r="AE100" s="125"/>
      <c r="AF100" s="46"/>
      <c r="AG100" s="46"/>
      <c r="AH100" s="46"/>
      <c r="AI100" s="46"/>
      <c r="AJ100" s="46"/>
      <c r="AK100" s="46"/>
      <c r="AL100" s="46"/>
      <c r="AM100" s="46"/>
      <c r="AN100" s="46"/>
    </row>
    <row r="101" spans="1:41" ht="12" x14ac:dyDescent="0.25">
      <c r="H101" s="116">
        <f t="shared" si="27"/>
        <v>11</v>
      </c>
      <c r="I101" s="46" t="str">
        <f t="shared" si="36"/>
        <v>Ječmen tržni</v>
      </c>
      <c r="J101" s="45" t="str">
        <f t="shared" si="29"/>
        <v>Stroški glavnega pridelka</v>
      </c>
      <c r="K101" s="46" t="str">
        <f>+K$64</f>
        <v>EUR/ha</v>
      </c>
      <c r="L101" s="203"/>
      <c r="M101" s="260"/>
      <c r="N101" s="203"/>
      <c r="O101" s="262">
        <f>+O99-O100</f>
        <v>1807.6617618754292</v>
      </c>
      <c r="P101" s="146"/>
      <c r="Q101" s="262">
        <f>+Q99-Q100</f>
        <v>1986.7135179691229</v>
      </c>
      <c r="R101" s="262">
        <f t="shared" ref="R101:V101" si="37">+R99-R100</f>
        <v>1895.0471374464123</v>
      </c>
      <c r="S101" s="262">
        <f t="shared" si="37"/>
        <v>1807.6617618754292</v>
      </c>
      <c r="T101" s="262">
        <f t="shared" si="37"/>
        <v>1738.0627841520709</v>
      </c>
      <c r="U101" s="262">
        <f t="shared" si="37"/>
        <v>1632.8798385520072</v>
      </c>
      <c r="V101" s="262">
        <f t="shared" si="37"/>
        <v>1603.8808216461873</v>
      </c>
      <c r="W101" s="114"/>
      <c r="X101" s="300">
        <f t="shared" si="33"/>
        <v>109.90515813688117</v>
      </c>
      <c r="Y101" s="300">
        <f t="shared" si="34"/>
        <v>104.83416629227813</v>
      </c>
      <c r="Z101" s="300">
        <f t="shared" si="35"/>
        <v>96.149778725686488</v>
      </c>
      <c r="AA101" s="300">
        <f t="shared" si="35"/>
        <v>90.331049369430289</v>
      </c>
      <c r="AB101" s="300">
        <f t="shared" si="35"/>
        <v>88.726821326473086</v>
      </c>
      <c r="AD101" s="125"/>
      <c r="AE101" s="125"/>
      <c r="AF101" s="46"/>
      <c r="AG101" s="46"/>
      <c r="AH101" s="46"/>
      <c r="AI101" s="46"/>
      <c r="AJ101" s="46"/>
      <c r="AK101" s="46"/>
      <c r="AL101" s="46"/>
      <c r="AM101" s="46"/>
      <c r="AN101" s="46"/>
    </row>
    <row r="102" spans="1:41" ht="12" x14ac:dyDescent="0.25">
      <c r="A102" s="131" t="s">
        <v>4</v>
      </c>
      <c r="B102" s="220" t="s">
        <v>0</v>
      </c>
      <c r="C102" s="131" t="s">
        <v>2</v>
      </c>
      <c r="D102" s="131" t="s">
        <v>1</v>
      </c>
      <c r="E102" s="131" t="s">
        <v>0</v>
      </c>
      <c r="H102" s="116">
        <f t="shared" si="27"/>
        <v>12</v>
      </c>
      <c r="I102" s="46" t="str">
        <f t="shared" si="36"/>
        <v>Ječmen tržni</v>
      </c>
      <c r="J102" s="45" t="str">
        <f t="shared" si="29"/>
        <v>Subvencije</v>
      </c>
      <c r="K102" s="46" t="str">
        <f>+K$65</f>
        <v>EUR/ha</v>
      </c>
      <c r="L102" s="146"/>
      <c r="M102" s="260"/>
      <c r="N102" s="146"/>
      <c r="O102" s="252">
        <v>23.94</v>
      </c>
      <c r="P102" s="146"/>
      <c r="Q102" s="252">
        <v>23.94</v>
      </c>
      <c r="R102" s="252">
        <v>23.94</v>
      </c>
      <c r="S102" s="252">
        <v>23.94</v>
      </c>
      <c r="T102" s="252">
        <v>23.94</v>
      </c>
      <c r="U102" s="252">
        <v>23.94</v>
      </c>
      <c r="V102" s="252">
        <v>23.94</v>
      </c>
      <c r="W102" s="114"/>
      <c r="X102" s="300">
        <f t="shared" si="33"/>
        <v>100</v>
      </c>
      <c r="Y102" s="300">
        <f t="shared" si="34"/>
        <v>100</v>
      </c>
      <c r="Z102" s="300">
        <f t="shared" si="35"/>
        <v>100</v>
      </c>
      <c r="AA102" s="300">
        <f t="shared" si="35"/>
        <v>100</v>
      </c>
      <c r="AB102" s="300">
        <f t="shared" si="35"/>
        <v>100</v>
      </c>
      <c r="AD102" s="125"/>
      <c r="AE102" s="125"/>
      <c r="AF102" s="46"/>
      <c r="AG102" s="46"/>
      <c r="AH102" s="46"/>
      <c r="AI102" s="46"/>
      <c r="AJ102" s="46"/>
      <c r="AK102" s="46"/>
      <c r="AL102" s="46"/>
      <c r="AM102" s="46"/>
      <c r="AN102" s="46"/>
    </row>
    <row r="103" spans="1:41" ht="12" x14ac:dyDescent="0.25">
      <c r="C103" s="131" t="s">
        <v>13</v>
      </c>
      <c r="H103" s="116">
        <f t="shared" si="27"/>
        <v>13</v>
      </c>
      <c r="I103" s="46" t="str">
        <f t="shared" si="36"/>
        <v>Ječmen tržni</v>
      </c>
      <c r="J103" s="45" t="str">
        <f t="shared" si="29"/>
        <v>Stroški, zmanjšani za subvencije</v>
      </c>
      <c r="K103" s="46" t="str">
        <f>+K$66</f>
        <v>EUR/ha</v>
      </c>
      <c r="L103" s="203"/>
      <c r="M103" s="260"/>
      <c r="N103" s="203"/>
      <c r="O103" s="264">
        <f>+O101-O102</f>
        <v>1783.7217618754291</v>
      </c>
      <c r="P103" s="146"/>
      <c r="Q103" s="264">
        <f>+Q101-Q102</f>
        <v>1962.7735179691228</v>
      </c>
      <c r="R103" s="264">
        <f t="shared" ref="R103:V103" si="38">+R101-R102</f>
        <v>1871.1071374464123</v>
      </c>
      <c r="S103" s="264">
        <f t="shared" si="38"/>
        <v>1783.7217618754291</v>
      </c>
      <c r="T103" s="264">
        <f t="shared" si="38"/>
        <v>1714.1227841520708</v>
      </c>
      <c r="U103" s="264">
        <f t="shared" si="38"/>
        <v>1608.9398385520071</v>
      </c>
      <c r="V103" s="264">
        <f t="shared" si="38"/>
        <v>1579.9408216461873</v>
      </c>
      <c r="W103" s="114"/>
      <c r="X103" s="300">
        <f t="shared" si="33"/>
        <v>110.03809898610174</v>
      </c>
      <c r="Y103" s="300">
        <f t="shared" si="34"/>
        <v>104.89904745452591</v>
      </c>
      <c r="Z103" s="300">
        <f t="shared" si="35"/>
        <v>96.098103459242381</v>
      </c>
      <c r="AA103" s="300">
        <f t="shared" si="35"/>
        <v>90.201278749906947</v>
      </c>
      <c r="AB103" s="300">
        <f t="shared" si="35"/>
        <v>88.575519759596148</v>
      </c>
      <c r="AD103" s="125"/>
      <c r="AE103" s="125"/>
      <c r="AF103" s="46"/>
      <c r="AG103" s="46"/>
      <c r="AH103" s="46"/>
      <c r="AI103" s="46"/>
      <c r="AJ103" s="46"/>
      <c r="AK103" s="46"/>
      <c r="AL103" s="46"/>
      <c r="AM103" s="46"/>
      <c r="AN103" s="46"/>
    </row>
    <row r="104" spans="1:41" ht="12" x14ac:dyDescent="0.25">
      <c r="G104" s="133"/>
      <c r="H104" s="116">
        <f t="shared" si="27"/>
        <v>14</v>
      </c>
      <c r="I104" s="46" t="str">
        <f t="shared" si="36"/>
        <v>Ječmen tržni</v>
      </c>
      <c r="J104" s="45" t="str">
        <f t="shared" si="29"/>
        <v>Stroški, zmanjšani za subvencije/kg</v>
      </c>
      <c r="K104" s="46" t="str">
        <f>+K$67</f>
        <v>EUR/kg</v>
      </c>
      <c r="L104" s="301"/>
      <c r="M104" s="279"/>
      <c r="N104" s="203"/>
      <c r="O104" s="270">
        <f>+O103/O95</f>
        <v>0.32431304761371438</v>
      </c>
      <c r="Q104" s="270">
        <f>+Q103/Q95</f>
        <v>0.30196515661063428</v>
      </c>
      <c r="R104" s="270">
        <f t="shared" ref="R104:V104" si="39">+R103/R95</f>
        <v>0.31185118957440205</v>
      </c>
      <c r="S104" s="270">
        <f t="shared" si="39"/>
        <v>0.32431304761371438</v>
      </c>
      <c r="T104" s="270">
        <f t="shared" si="39"/>
        <v>0.34282455683041418</v>
      </c>
      <c r="U104" s="270">
        <f t="shared" si="39"/>
        <v>0.35754218634489049</v>
      </c>
      <c r="V104" s="270">
        <f t="shared" si="39"/>
        <v>0.28726196757203404</v>
      </c>
      <c r="W104" s="278"/>
      <c r="X104" s="269">
        <f t="shared" si="33"/>
        <v>93.109160680547632</v>
      </c>
      <c r="Y104" s="269">
        <f t="shared" si="34"/>
        <v>96.157460166648761</v>
      </c>
      <c r="Z104" s="269">
        <f t="shared" si="35"/>
        <v>105.70791380516663</v>
      </c>
      <c r="AA104" s="269">
        <f t="shared" si="35"/>
        <v>110.2460073609974</v>
      </c>
      <c r="AB104" s="269">
        <f t="shared" si="35"/>
        <v>88.575519759596148</v>
      </c>
      <c r="AD104" s="125"/>
      <c r="AE104" s="125"/>
      <c r="AF104" s="46"/>
      <c r="AG104" s="46"/>
      <c r="AH104" s="46"/>
      <c r="AI104" s="46"/>
      <c r="AJ104" s="46"/>
      <c r="AK104" s="46"/>
      <c r="AL104" s="46"/>
      <c r="AM104" s="46"/>
      <c r="AN104" s="46"/>
    </row>
    <row r="105" spans="1:41" ht="12" x14ac:dyDescent="0.25">
      <c r="A105" s="131" t="s">
        <v>169</v>
      </c>
      <c r="H105" s="116">
        <f t="shared" si="27"/>
        <v>15</v>
      </c>
      <c r="J105" s="45" t="str">
        <f t="shared" si="29"/>
        <v>davek_a</v>
      </c>
      <c r="L105" s="146"/>
      <c r="M105" s="260"/>
      <c r="N105" s="146"/>
      <c r="O105" s="117">
        <v>24.243719744116152</v>
      </c>
      <c r="Q105" s="117">
        <v>20.919945202089657</v>
      </c>
      <c r="R105" s="117">
        <v>22.577546483580914</v>
      </c>
      <c r="S105" s="117">
        <v>24.243719744116152</v>
      </c>
      <c r="T105" s="117">
        <v>25.028442023431282</v>
      </c>
      <c r="U105" s="117">
        <v>26.833220375020392</v>
      </c>
      <c r="V105" s="117">
        <v>32.546696118662901</v>
      </c>
      <c r="W105" s="114"/>
      <c r="X105" s="300">
        <f t="shared" si="33"/>
        <v>86.290162660236319</v>
      </c>
      <c r="Y105" s="300">
        <f t="shared" si="34"/>
        <v>93.12740256808317</v>
      </c>
      <c r="Z105" s="300">
        <f t="shared" si="35"/>
        <v>103.23680642903645</v>
      </c>
      <c r="AA105" s="300">
        <f t="shared" si="35"/>
        <v>110.68111930939435</v>
      </c>
      <c r="AB105" s="300">
        <f t="shared" si="35"/>
        <v>134.2479473537135</v>
      </c>
      <c r="AD105" s="124"/>
      <c r="AE105" s="124"/>
      <c r="AF105" s="45"/>
      <c r="AG105" s="45"/>
      <c r="AH105" s="45"/>
      <c r="AI105" s="45"/>
      <c r="AJ105" s="45"/>
      <c r="AK105" s="45"/>
      <c r="AL105" s="45"/>
      <c r="AM105" s="45"/>
      <c r="AN105" s="46"/>
    </row>
    <row r="106" spans="1:41" ht="12" x14ac:dyDescent="0.25">
      <c r="A106" s="46" t="s">
        <v>113</v>
      </c>
      <c r="H106" s="116">
        <f t="shared" si="27"/>
        <v>16</v>
      </c>
      <c r="J106" s="45" t="str">
        <f t="shared" si="29"/>
        <v>Pokoj obvezno</v>
      </c>
      <c r="L106" s="146"/>
      <c r="M106" s="260"/>
      <c r="N106" s="146"/>
      <c r="O106" s="117">
        <v>28.98953746906432</v>
      </c>
      <c r="P106" s="146"/>
      <c r="Q106" s="117">
        <v>33.133742645164055</v>
      </c>
      <c r="R106" s="117">
        <v>31.064400650135994</v>
      </c>
      <c r="S106" s="117">
        <v>28.98953746906432</v>
      </c>
      <c r="T106" s="117">
        <v>28.037792398327635</v>
      </c>
      <c r="U106" s="117">
        <v>25.774557846874004</v>
      </c>
      <c r="V106" s="117">
        <v>18.502326080844611</v>
      </c>
      <c r="W106" s="114"/>
      <c r="X106" s="300">
        <f t="shared" si="33"/>
        <v>114.29552017006877</v>
      </c>
      <c r="Y106" s="300">
        <f t="shared" si="34"/>
        <v>107.15728280689483</v>
      </c>
      <c r="Z106" s="300">
        <f t="shared" si="35"/>
        <v>96.71693599198565</v>
      </c>
      <c r="AA106" s="300">
        <f t="shared" si="35"/>
        <v>88.909862305940109</v>
      </c>
      <c r="AB106" s="300">
        <f t="shared" si="35"/>
        <v>63.824150697778627</v>
      </c>
      <c r="AD106" s="125"/>
      <c r="AE106" s="125"/>
      <c r="AF106" s="46"/>
      <c r="AG106" s="46"/>
      <c r="AH106" s="46"/>
      <c r="AI106" s="46"/>
      <c r="AJ106" s="46"/>
      <c r="AK106" s="46"/>
      <c r="AL106" s="46"/>
      <c r="AM106" s="46"/>
      <c r="AN106" s="46"/>
    </row>
    <row r="107" spans="1:41" s="45" customFormat="1" ht="12" x14ac:dyDescent="0.25">
      <c r="A107" s="46" t="s">
        <v>112</v>
      </c>
      <c r="B107" s="131"/>
      <c r="C107" s="131"/>
      <c r="D107" s="131"/>
      <c r="E107" s="131"/>
      <c r="F107" s="46"/>
      <c r="G107" s="46"/>
      <c r="H107" s="116">
        <f t="shared" si="27"/>
        <v>17</v>
      </c>
      <c r="I107" s="46"/>
      <c r="J107" s="45" t="str">
        <f t="shared" si="29"/>
        <v>Zdrav obvezno</v>
      </c>
      <c r="K107" s="46"/>
      <c r="L107" s="257"/>
      <c r="M107" s="258"/>
      <c r="N107" s="257"/>
      <c r="O107" s="117">
        <v>13.260375526171998</v>
      </c>
      <c r="P107" s="257"/>
      <c r="Q107" s="117">
        <v>15.156015184142781</v>
      </c>
      <c r="R107" s="117">
        <v>14.209458103836395</v>
      </c>
      <c r="S107" s="117">
        <v>13.260375526171998</v>
      </c>
      <c r="T107" s="117">
        <v>12.825028909944701</v>
      </c>
      <c r="U107" s="117">
        <v>11.789781621570107</v>
      </c>
      <c r="V107" s="117">
        <v>8.4633220589153737</v>
      </c>
      <c r="W107" s="294"/>
      <c r="X107" s="300">
        <f t="shared" si="33"/>
        <v>114.29552017006878</v>
      </c>
      <c r="Y107" s="300">
        <f t="shared" si="34"/>
        <v>107.15728280689483</v>
      </c>
      <c r="Z107" s="300">
        <f t="shared" si="35"/>
        <v>96.716935991985636</v>
      </c>
      <c r="AA107" s="300">
        <f t="shared" si="35"/>
        <v>88.909862305940123</v>
      </c>
      <c r="AB107" s="300">
        <f t="shared" si="35"/>
        <v>63.824150697778649</v>
      </c>
      <c r="AD107" s="124"/>
      <c r="AE107" s="124"/>
      <c r="AF107" s="46"/>
      <c r="AG107" s="46"/>
      <c r="AH107" s="46"/>
      <c r="AI107" s="46"/>
      <c r="AJ107" s="46"/>
      <c r="AK107" s="46"/>
      <c r="AL107" s="46"/>
      <c r="AM107" s="46"/>
      <c r="AN107" s="46"/>
      <c r="AO107" s="259"/>
    </row>
    <row r="108" spans="1:41" ht="12" x14ac:dyDescent="0.25">
      <c r="A108" s="46" t="s">
        <v>111</v>
      </c>
      <c r="H108" s="116">
        <f t="shared" si="27"/>
        <v>18</v>
      </c>
      <c r="J108" s="45" t="str">
        <f t="shared" si="29"/>
        <v>Pokoj dodatno</v>
      </c>
      <c r="L108" s="146"/>
      <c r="M108" s="260"/>
      <c r="N108" s="146"/>
      <c r="O108" s="117">
        <v>24.496557449781502</v>
      </c>
      <c r="P108" s="146"/>
      <c r="Q108" s="117">
        <v>27.998467760987499</v>
      </c>
      <c r="R108" s="117">
        <v>26.249845344415828</v>
      </c>
      <c r="S108" s="117">
        <v>24.496557449781502</v>
      </c>
      <c r="T108" s="117">
        <v>23.692319788945163</v>
      </c>
      <c r="U108" s="117">
        <v>21.779855498296243</v>
      </c>
      <c r="V108" s="117">
        <v>15.634719742516465</v>
      </c>
      <c r="W108" s="114"/>
      <c r="X108" s="300">
        <f t="shared" si="33"/>
        <v>114.29552017006877</v>
      </c>
      <c r="Y108" s="300">
        <f t="shared" si="34"/>
        <v>107.15728280689483</v>
      </c>
      <c r="Z108" s="300">
        <f t="shared" si="35"/>
        <v>96.716935991985636</v>
      </c>
      <c r="AA108" s="300">
        <f t="shared" si="35"/>
        <v>88.909862305940095</v>
      </c>
      <c r="AB108" s="300">
        <f t="shared" si="35"/>
        <v>63.824150697778634</v>
      </c>
      <c r="AD108" s="125"/>
      <c r="AE108" s="125"/>
      <c r="AF108" s="339" t="s">
        <v>176</v>
      </c>
      <c r="AG108" s="340"/>
      <c r="AH108" s="340"/>
      <c r="AI108" s="340"/>
      <c r="AJ108" s="340"/>
      <c r="AK108" s="340"/>
      <c r="AL108" s="340"/>
      <c r="AM108" s="340"/>
      <c r="AN108" s="340"/>
      <c r="AO108" s="259"/>
    </row>
    <row r="109" spans="1:41" s="45" customFormat="1" ht="12" x14ac:dyDescent="0.25">
      <c r="A109" s="46" t="s">
        <v>110</v>
      </c>
      <c r="B109" s="131"/>
      <c r="C109" s="131"/>
      <c r="D109" s="131"/>
      <c r="E109" s="131"/>
      <c r="F109" s="46"/>
      <c r="G109" s="46"/>
      <c r="H109" s="116">
        <f t="shared" si="27"/>
        <v>19</v>
      </c>
      <c r="I109" s="46"/>
      <c r="J109" s="45" t="str">
        <f t="shared" si="29"/>
        <v>Zdrav dodatno</v>
      </c>
      <c r="K109" s="46"/>
      <c r="L109" s="257"/>
      <c r="M109" s="258"/>
      <c r="N109" s="257"/>
      <c r="O109" s="117">
        <v>11.205199504448435</v>
      </c>
      <c r="P109" s="257"/>
      <c r="Q109" s="117">
        <v>12.807041059703309</v>
      </c>
      <c r="R109" s="117">
        <v>12.007187322058591</v>
      </c>
      <c r="S109" s="117">
        <v>11.205199504448435</v>
      </c>
      <c r="T109" s="117">
        <v>10.837325632491687</v>
      </c>
      <c r="U109" s="117">
        <v>9.9625274505109918</v>
      </c>
      <c r="V109" s="117">
        <v>7.1516234177059159</v>
      </c>
      <c r="W109" s="294"/>
      <c r="X109" s="300">
        <f t="shared" si="33"/>
        <v>114.29552017006878</v>
      </c>
      <c r="Y109" s="300">
        <f t="shared" si="34"/>
        <v>107.15728280689487</v>
      </c>
      <c r="Z109" s="300">
        <f t="shared" si="35"/>
        <v>96.71693599198565</v>
      </c>
      <c r="AA109" s="300">
        <f t="shared" si="35"/>
        <v>88.909862305940152</v>
      </c>
      <c r="AB109" s="300">
        <f t="shared" si="35"/>
        <v>63.824150697778649</v>
      </c>
      <c r="AD109" s="125"/>
      <c r="AE109" s="125"/>
      <c r="AF109" s="192" t="str">
        <f>"letina "&amp;M90&amp;", upoštevani stroški zmanjšani za subvencije"</f>
        <v>letina , upoštevani stroški zmanjšani za subvencije</v>
      </c>
      <c r="AG109" s="46"/>
      <c r="AH109" s="46"/>
      <c r="AI109" s="46"/>
      <c r="AJ109" s="46"/>
      <c r="AK109" s="46"/>
      <c r="AL109" s="46"/>
      <c r="AM109" s="46"/>
      <c r="AN109" s="46"/>
      <c r="AO109" s="259"/>
    </row>
    <row r="110" spans="1:41" ht="12" x14ac:dyDescent="0.25">
      <c r="A110" s="46" t="s">
        <v>109</v>
      </c>
      <c r="H110" s="116">
        <f t="shared" si="27"/>
        <v>20</v>
      </c>
      <c r="J110" s="45" t="str">
        <f t="shared" si="29"/>
        <v>Regresi</v>
      </c>
      <c r="L110" s="146"/>
      <c r="M110" s="260"/>
      <c r="N110" s="146"/>
      <c r="O110" s="117">
        <v>73.495549892069448</v>
      </c>
      <c r="P110" s="146"/>
      <c r="Q110" s="117">
        <v>84.002121050993182</v>
      </c>
      <c r="R110" s="117">
        <v>78.755834248327346</v>
      </c>
      <c r="S110" s="117">
        <v>73.495549892069448</v>
      </c>
      <c r="T110" s="117">
        <v>71.082643946070689</v>
      </c>
      <c r="U110" s="117">
        <v>65.344792210032466</v>
      </c>
      <c r="V110" s="117">
        <v>46.907910519275482</v>
      </c>
      <c r="W110" s="294"/>
      <c r="X110" s="300">
        <f t="shared" si="33"/>
        <v>114.29552017006877</v>
      </c>
      <c r="Y110" s="300">
        <f t="shared" si="34"/>
        <v>107.15728280689483</v>
      </c>
      <c r="Z110" s="300">
        <f t="shared" si="35"/>
        <v>96.71693599198565</v>
      </c>
      <c r="AA110" s="300">
        <f t="shared" si="35"/>
        <v>88.909862305940109</v>
      </c>
      <c r="AB110" s="300">
        <f t="shared" si="35"/>
        <v>63.824150697778627</v>
      </c>
      <c r="AD110" s="125"/>
      <c r="AE110" s="125"/>
      <c r="AF110" s="46"/>
      <c r="AG110" s="46"/>
      <c r="AH110" s="46"/>
      <c r="AI110" s="46"/>
      <c r="AJ110" s="46"/>
      <c r="AK110" s="46"/>
      <c r="AL110" s="46"/>
      <c r="AM110" s="46"/>
      <c r="AN110" s="46"/>
      <c r="AO110" s="259"/>
    </row>
    <row r="111" spans="1:41" ht="12" x14ac:dyDescent="0.25">
      <c r="A111" s="131" t="s">
        <v>28</v>
      </c>
      <c r="H111" s="116">
        <f t="shared" si="27"/>
        <v>21</v>
      </c>
      <c r="J111" s="45" t="str">
        <f t="shared" si="29"/>
        <v>SUM element</v>
      </c>
      <c r="L111" s="146"/>
      <c r="M111" s="260"/>
      <c r="N111" s="146"/>
      <c r="O111" s="252">
        <v>2101.9685243427698</v>
      </c>
      <c r="P111" s="263"/>
      <c r="Q111" s="252">
        <v>2339.9592906948201</v>
      </c>
      <c r="R111" s="252">
        <v>2223.0888041791623</v>
      </c>
      <c r="S111" s="252">
        <v>2101.9685243427698</v>
      </c>
      <c r="T111" s="252">
        <v>2007.1654406264643</v>
      </c>
      <c r="U111" s="252">
        <v>1876.7783890334549</v>
      </c>
      <c r="V111" s="252">
        <v>1908.6217194243422</v>
      </c>
      <c r="W111" s="294"/>
      <c r="X111" s="299">
        <f t="shared" si="33"/>
        <v>111.32228021475554</v>
      </c>
      <c r="Y111" s="299">
        <f t="shared" si="34"/>
        <v>105.76223090087724</v>
      </c>
      <c r="Z111" s="299">
        <f t="shared" si="35"/>
        <v>95.489795274363203</v>
      </c>
      <c r="AA111" s="299">
        <f t="shared" si="35"/>
        <v>89.286702788295756</v>
      </c>
      <c r="AB111" s="299">
        <f t="shared" si="35"/>
        <v>90.801631771394767</v>
      </c>
      <c r="AD111" s="125"/>
      <c r="AE111" s="125"/>
      <c r="AF111" s="46"/>
      <c r="AG111" s="46"/>
      <c r="AH111" s="46"/>
      <c r="AI111" s="46"/>
      <c r="AJ111" s="46"/>
      <c r="AK111" s="46"/>
      <c r="AL111" s="46"/>
      <c r="AM111" s="46"/>
      <c r="AN111" s="46"/>
      <c r="AO111" s="259"/>
    </row>
    <row r="112" spans="1:41" ht="15" customHeight="1" x14ac:dyDescent="0.25">
      <c r="A112" s="131" t="s">
        <v>4</v>
      </c>
      <c r="B112" s="131" t="s">
        <v>0</v>
      </c>
      <c r="C112" s="131" t="s">
        <v>2</v>
      </c>
      <c r="D112" s="131" t="s">
        <v>1</v>
      </c>
      <c r="E112" s="131" t="s">
        <v>0</v>
      </c>
      <c r="H112" s="116">
        <f t="shared" si="27"/>
        <v>22</v>
      </c>
      <c r="J112" s="190" t="str">
        <f>+J75</f>
        <v>Subvencije</v>
      </c>
      <c r="L112" s="146"/>
      <c r="M112" s="260"/>
      <c r="N112" s="146"/>
      <c r="O112" s="302">
        <v>23.94</v>
      </c>
      <c r="P112" s="303"/>
      <c r="Q112" s="302">
        <v>23.94</v>
      </c>
      <c r="R112" s="302">
        <v>23.94</v>
      </c>
      <c r="S112" s="302">
        <v>23.94</v>
      </c>
      <c r="T112" s="302">
        <v>23.94</v>
      </c>
      <c r="U112" s="302">
        <v>23.94</v>
      </c>
      <c r="V112" s="302">
        <v>23.94</v>
      </c>
      <c r="W112" s="294"/>
      <c r="X112" s="300">
        <f t="shared" si="33"/>
        <v>100</v>
      </c>
      <c r="Y112" s="300">
        <f t="shared" si="34"/>
        <v>100</v>
      </c>
      <c r="Z112" s="300">
        <f t="shared" si="35"/>
        <v>100</v>
      </c>
      <c r="AA112" s="300">
        <f t="shared" si="35"/>
        <v>100</v>
      </c>
      <c r="AB112" s="300">
        <f t="shared" si="35"/>
        <v>100</v>
      </c>
      <c r="AD112" s="125"/>
      <c r="AE112" s="272"/>
      <c r="AF112" s="46"/>
      <c r="AG112" s="46"/>
      <c r="AH112" s="46"/>
      <c r="AI112" s="46"/>
      <c r="AJ112" s="46"/>
      <c r="AK112" s="46"/>
      <c r="AL112" s="46"/>
      <c r="AM112" s="46"/>
      <c r="AN112" s="46"/>
      <c r="AO112" s="259"/>
    </row>
    <row r="113" spans="1:41" ht="15" customHeight="1" x14ac:dyDescent="0.25">
      <c r="A113" s="196" t="s">
        <v>29</v>
      </c>
      <c r="H113" s="116">
        <f t="shared" si="27"/>
        <v>23</v>
      </c>
      <c r="J113" s="190" t="str">
        <f>+J76</f>
        <v>Vrednost pridelave_tržna</v>
      </c>
      <c r="K113" s="46" t="s">
        <v>195</v>
      </c>
      <c r="L113" s="146"/>
      <c r="M113" s="260"/>
      <c r="N113" s="146"/>
      <c r="O113" s="302">
        <v>786.49999999999989</v>
      </c>
      <c r="P113" s="303"/>
      <c r="Q113" s="302">
        <v>929.49999999999989</v>
      </c>
      <c r="R113" s="302">
        <v>857.99999999999989</v>
      </c>
      <c r="S113" s="302">
        <v>786.49999999999989</v>
      </c>
      <c r="T113" s="302">
        <v>714.99999999999989</v>
      </c>
      <c r="U113" s="302">
        <v>643.5</v>
      </c>
      <c r="V113" s="302">
        <v>786.49999999999989</v>
      </c>
      <c r="W113" s="294"/>
      <c r="X113" s="299">
        <f t="shared" si="33"/>
        <v>118.18181818181819</v>
      </c>
      <c r="Y113" s="299">
        <f t="shared" si="34"/>
        <v>109.09090909090908</v>
      </c>
      <c r="Z113" s="299">
        <f t="shared" si="35"/>
        <v>90.909090909090907</v>
      </c>
      <c r="AA113" s="299">
        <f t="shared" si="35"/>
        <v>81.818181818181841</v>
      </c>
      <c r="AB113" s="299">
        <f t="shared" si="35"/>
        <v>100</v>
      </c>
      <c r="AD113" s="125"/>
      <c r="AE113" s="272"/>
      <c r="AF113" s="46"/>
      <c r="AG113" s="46"/>
      <c r="AH113" s="46"/>
      <c r="AI113" s="46"/>
      <c r="AJ113" s="46"/>
      <c r="AK113" s="46"/>
      <c r="AL113" s="46"/>
      <c r="AM113" s="46"/>
      <c r="AN113" s="46"/>
      <c r="AO113" s="259"/>
    </row>
    <row r="114" spans="1:41" s="72" customFormat="1" ht="12" x14ac:dyDescent="0.25">
      <c r="A114" s="131"/>
      <c r="B114" s="131"/>
      <c r="C114" s="131"/>
      <c r="D114" s="131"/>
      <c r="E114" s="131"/>
      <c r="F114" s="46"/>
      <c r="G114" s="133"/>
      <c r="H114" s="116">
        <f t="shared" si="27"/>
        <v>24</v>
      </c>
      <c r="I114" s="46"/>
      <c r="K114" s="128"/>
      <c r="L114" s="278"/>
      <c r="M114" s="279"/>
      <c r="N114" s="272"/>
      <c r="O114" s="280">
        <f>+O99-O112-O100</f>
        <v>1783.7217618754291</v>
      </c>
      <c r="P114" s="146" t="s">
        <v>108</v>
      </c>
      <c r="Q114" s="280">
        <f>+Q99-Q112-Q100</f>
        <v>1962.7735179691228</v>
      </c>
      <c r="R114" s="280">
        <f t="shared" ref="R114:V114" si="40">+R99-R112-R100</f>
        <v>1871.1071374464123</v>
      </c>
      <c r="S114" s="280">
        <f t="shared" si="40"/>
        <v>1783.7217618754291</v>
      </c>
      <c r="T114" s="280">
        <f t="shared" si="40"/>
        <v>1714.1227841520708</v>
      </c>
      <c r="U114" s="280">
        <f t="shared" si="40"/>
        <v>1608.9398385520071</v>
      </c>
      <c r="V114" s="280">
        <f t="shared" si="40"/>
        <v>1579.9408216461873</v>
      </c>
      <c r="W114" s="304"/>
      <c r="X114" s="272"/>
      <c r="Y114" s="272"/>
      <c r="Z114" s="272"/>
      <c r="AA114" s="272"/>
      <c r="AB114" s="272"/>
      <c r="AD114" s="124"/>
      <c r="AE114" s="124"/>
      <c r="AF114" s="46"/>
      <c r="AG114" s="46"/>
      <c r="AH114" s="46"/>
      <c r="AI114" s="46"/>
      <c r="AJ114" s="46"/>
      <c r="AK114" s="46"/>
      <c r="AL114" s="46"/>
      <c r="AM114" s="46"/>
      <c r="AN114" s="46"/>
      <c r="AO114" s="259"/>
    </row>
    <row r="115" spans="1:41" s="72" customFormat="1" ht="12" x14ac:dyDescent="0.25">
      <c r="A115" s="131"/>
      <c r="B115" s="131"/>
      <c r="C115" s="131"/>
      <c r="D115" s="131"/>
      <c r="E115" s="131"/>
      <c r="F115" s="46"/>
      <c r="G115" s="128"/>
      <c r="H115" s="116">
        <f t="shared" si="27"/>
        <v>25</v>
      </c>
      <c r="I115" s="46"/>
      <c r="K115" s="128"/>
      <c r="L115" s="278"/>
      <c r="M115" s="279"/>
      <c r="N115" s="272"/>
      <c r="O115" s="280">
        <f>O114-O106-O107</f>
        <v>1741.4718488801927</v>
      </c>
      <c r="P115" s="146" t="s">
        <v>107</v>
      </c>
      <c r="Q115" s="280">
        <f>Q114-Q106-Q107</f>
        <v>1914.483760139816</v>
      </c>
      <c r="R115" s="280">
        <f t="shared" ref="R115:V115" si="41">R114-R106-R107</f>
        <v>1825.83327869244</v>
      </c>
      <c r="S115" s="280">
        <f t="shared" si="41"/>
        <v>1741.4718488801927</v>
      </c>
      <c r="T115" s="280">
        <f t="shared" si="41"/>
        <v>1673.2599628437986</v>
      </c>
      <c r="U115" s="280">
        <f t="shared" si="41"/>
        <v>1571.3754990835632</v>
      </c>
      <c r="V115" s="280">
        <f t="shared" si="41"/>
        <v>1552.9751735064274</v>
      </c>
      <c r="W115" s="304"/>
      <c r="X115" s="272"/>
      <c r="Y115" s="272"/>
      <c r="Z115" s="272"/>
      <c r="AA115" s="272"/>
      <c r="AB115" s="272"/>
      <c r="AD115" s="125"/>
      <c r="AE115" s="125"/>
      <c r="AF115" s="46"/>
      <c r="AG115" s="46"/>
      <c r="AH115" s="46"/>
      <c r="AI115" s="46"/>
      <c r="AJ115" s="46"/>
      <c r="AK115" s="46"/>
      <c r="AL115" s="46"/>
      <c r="AM115" s="46"/>
      <c r="AN115" s="46"/>
      <c r="AO115" s="259"/>
    </row>
    <row r="116" spans="1:41" s="45" customFormat="1" ht="12" x14ac:dyDescent="0.25">
      <c r="A116" s="131"/>
      <c r="B116" s="131"/>
      <c r="C116" s="131"/>
      <c r="D116" s="131"/>
      <c r="E116" s="131"/>
      <c r="F116" s="46"/>
      <c r="H116" s="116">
        <f t="shared" si="27"/>
        <v>26</v>
      </c>
      <c r="I116" s="46"/>
      <c r="K116" s="46"/>
      <c r="L116" s="257"/>
      <c r="M116" s="258"/>
      <c r="N116" s="272"/>
      <c r="O116" s="280">
        <f>O115-O108-O109-O110</f>
        <v>1632.2745420338933</v>
      </c>
      <c r="P116" s="146" t="s">
        <v>106</v>
      </c>
      <c r="Q116" s="280">
        <f>Q115-Q108-Q109-Q110</f>
        <v>1789.6761302681321</v>
      </c>
      <c r="R116" s="280">
        <f t="shared" ref="R116:V116" si="42">R115-R108-R109-R110</f>
        <v>1708.8204117776381</v>
      </c>
      <c r="S116" s="280">
        <f t="shared" si="42"/>
        <v>1632.2745420338933</v>
      </c>
      <c r="T116" s="280">
        <f t="shared" si="42"/>
        <v>1567.6476734762909</v>
      </c>
      <c r="U116" s="280">
        <f t="shared" si="42"/>
        <v>1474.2883239247235</v>
      </c>
      <c r="V116" s="280">
        <f t="shared" si="42"/>
        <v>1483.2809198269297</v>
      </c>
      <c r="W116" s="304"/>
      <c r="X116" s="257"/>
      <c r="Y116" s="257"/>
      <c r="Z116" s="257"/>
      <c r="AA116" s="257"/>
      <c r="AB116" s="257"/>
      <c r="AD116" s="125"/>
      <c r="AE116" s="125"/>
      <c r="AF116" s="46"/>
      <c r="AG116" s="46"/>
      <c r="AH116" s="46"/>
      <c r="AI116" s="46"/>
      <c r="AJ116" s="46"/>
      <c r="AK116" s="46"/>
      <c r="AL116" s="46"/>
      <c r="AM116" s="46"/>
      <c r="AN116" s="46"/>
      <c r="AO116" s="259"/>
    </row>
    <row r="117" spans="1:41" ht="12" x14ac:dyDescent="0.25">
      <c r="H117" s="116">
        <f t="shared" si="27"/>
        <v>27</v>
      </c>
      <c r="L117" s="146"/>
      <c r="M117" s="260"/>
      <c r="N117" s="146"/>
      <c r="O117" s="282"/>
      <c r="P117" s="277"/>
      <c r="Q117" s="282"/>
      <c r="R117" s="282"/>
      <c r="S117" s="282"/>
      <c r="T117" s="282"/>
      <c r="U117" s="282"/>
      <c r="V117" s="282"/>
      <c r="W117" s="114"/>
      <c r="X117" s="146"/>
      <c r="Y117" s="146"/>
      <c r="Z117" s="146"/>
      <c r="AA117" s="146"/>
      <c r="AB117" s="146"/>
      <c r="AD117" s="125"/>
      <c r="AE117" s="125"/>
      <c r="AF117" s="46"/>
      <c r="AG117" s="46"/>
      <c r="AH117" s="46"/>
      <c r="AI117" s="46"/>
      <c r="AJ117" s="46"/>
      <c r="AK117" s="46"/>
      <c r="AL117" s="46"/>
      <c r="AM117" s="46"/>
      <c r="AN117" s="46"/>
      <c r="AO117" s="259"/>
    </row>
    <row r="118" spans="1:41" ht="12" x14ac:dyDescent="0.25">
      <c r="H118" s="116">
        <f t="shared" si="27"/>
        <v>28</v>
      </c>
      <c r="J118" s="45"/>
      <c r="L118" s="146"/>
      <c r="M118" s="260"/>
      <c r="N118" s="146"/>
      <c r="O118" s="285" t="str">
        <f>+O95&amp;";"&amp;O97</f>
        <v>5500;1</v>
      </c>
      <c r="P118" s="305"/>
      <c r="Q118" s="285" t="str">
        <f>+Q95&amp;";"&amp;Q97</f>
        <v>6500;1</v>
      </c>
      <c r="R118" s="285" t="str">
        <f t="shared" ref="R118:V118" si="43">+R95&amp;";"&amp;R97</f>
        <v>6000;1</v>
      </c>
      <c r="S118" s="285" t="str">
        <f t="shared" si="43"/>
        <v>5500;1</v>
      </c>
      <c r="T118" s="285" t="str">
        <f t="shared" si="43"/>
        <v>5000;1</v>
      </c>
      <c r="U118" s="285" t="str">
        <f t="shared" si="43"/>
        <v>4500;1</v>
      </c>
      <c r="V118" s="285" t="str">
        <f t="shared" si="43"/>
        <v>5500;5</v>
      </c>
      <c r="W118" s="114"/>
      <c r="X118" s="146"/>
      <c r="Y118" s="146"/>
      <c r="Z118" s="146"/>
      <c r="AA118" s="146"/>
      <c r="AB118" s="146"/>
      <c r="AD118" s="125"/>
      <c r="AE118" s="125"/>
      <c r="AF118" s="46"/>
      <c r="AG118" s="46"/>
      <c r="AH118" s="46"/>
      <c r="AI118" s="46"/>
      <c r="AJ118" s="46"/>
      <c r="AK118" s="46"/>
      <c r="AL118" s="46"/>
      <c r="AM118" s="46"/>
      <c r="AN118" s="46"/>
      <c r="AO118" s="259"/>
    </row>
    <row r="119" spans="1:41" ht="13.5" customHeight="1" x14ac:dyDescent="0.25">
      <c r="H119" s="116">
        <f t="shared" si="27"/>
        <v>29</v>
      </c>
      <c r="L119" s="146"/>
      <c r="M119" s="260"/>
      <c r="N119" s="146"/>
      <c r="O119" s="287">
        <f>+O114/O95*1000</f>
        <v>324.31304761371439</v>
      </c>
      <c r="P119" s="273" t="s">
        <v>105</v>
      </c>
      <c r="Q119" s="287">
        <f>+Q114/Q95*1000</f>
        <v>301.96515661063427</v>
      </c>
      <c r="R119" s="287">
        <f t="shared" ref="R119:V119" si="44">+R114/R95*1000</f>
        <v>311.85118957440204</v>
      </c>
      <c r="S119" s="287">
        <f t="shared" si="44"/>
        <v>324.31304761371439</v>
      </c>
      <c r="T119" s="287">
        <f t="shared" si="44"/>
        <v>342.82455683041417</v>
      </c>
      <c r="U119" s="287">
        <f t="shared" si="44"/>
        <v>357.54218634489047</v>
      </c>
      <c r="V119" s="287">
        <f t="shared" si="44"/>
        <v>287.26196757203405</v>
      </c>
      <c r="W119" s="114"/>
      <c r="X119" s="146"/>
      <c r="Y119" s="146"/>
      <c r="Z119" s="146"/>
      <c r="AA119" s="146"/>
      <c r="AB119" s="146"/>
      <c r="AD119" s="125"/>
      <c r="AE119" s="125"/>
      <c r="AF119" s="46"/>
      <c r="AG119" s="46"/>
      <c r="AH119" s="46"/>
      <c r="AI119" s="46"/>
      <c r="AJ119" s="46"/>
      <c r="AK119" s="46"/>
      <c r="AL119" s="46"/>
      <c r="AM119" s="46"/>
      <c r="AN119" s="46"/>
      <c r="AO119" s="259"/>
    </row>
    <row r="120" spans="1:41" ht="12" x14ac:dyDescent="0.25">
      <c r="H120" s="116">
        <f t="shared" si="27"/>
        <v>30</v>
      </c>
      <c r="L120" s="146"/>
      <c r="M120" s="260"/>
      <c r="N120" s="146"/>
      <c r="O120" s="287">
        <f>+O119*O115/O114</f>
        <v>316.63124525094412</v>
      </c>
      <c r="P120" s="273" t="s">
        <v>104</v>
      </c>
      <c r="Q120" s="287">
        <f>+Q119*Q115/Q114</f>
        <v>294.53596309843323</v>
      </c>
      <c r="R120" s="287">
        <f t="shared" ref="R120:V120" si="45">+R119*R115/R114</f>
        <v>304.30554644874002</v>
      </c>
      <c r="S120" s="287">
        <f t="shared" si="45"/>
        <v>316.63124525094412</v>
      </c>
      <c r="T120" s="287">
        <f t="shared" si="45"/>
        <v>334.65199256875974</v>
      </c>
      <c r="U120" s="287">
        <f t="shared" si="45"/>
        <v>349.19455535190292</v>
      </c>
      <c r="V120" s="287">
        <f t="shared" si="45"/>
        <v>282.35912245571404</v>
      </c>
      <c r="W120" s="114"/>
      <c r="X120" s="146"/>
      <c r="Y120" s="146"/>
      <c r="Z120" s="146"/>
      <c r="AA120" s="146"/>
      <c r="AB120" s="146"/>
      <c r="AD120" s="125"/>
      <c r="AE120" s="125"/>
      <c r="AF120" s="46"/>
      <c r="AG120" s="46"/>
      <c r="AH120" s="46"/>
      <c r="AI120" s="46"/>
      <c r="AJ120" s="46"/>
      <c r="AK120" s="46"/>
      <c r="AL120" s="46"/>
      <c r="AM120" s="46"/>
      <c r="AN120" s="46"/>
      <c r="AO120" s="259"/>
    </row>
    <row r="121" spans="1:41" ht="12" x14ac:dyDescent="0.25">
      <c r="H121" s="116">
        <f t="shared" si="27"/>
        <v>31</v>
      </c>
      <c r="L121" s="146"/>
      <c r="M121" s="260"/>
      <c r="N121" s="146"/>
      <c r="O121" s="287">
        <f>+O119*O116/O114</f>
        <v>296.77718946070786</v>
      </c>
      <c r="P121" s="273" t="s">
        <v>103</v>
      </c>
      <c r="Q121" s="287">
        <f>+Q119*Q116/Q114</f>
        <v>275.33478927202032</v>
      </c>
      <c r="R121" s="287">
        <f t="shared" ref="R121:V121" si="46">+R119*R116/R114</f>
        <v>284.80340196293969</v>
      </c>
      <c r="S121" s="287">
        <f t="shared" si="46"/>
        <v>296.77718946070786</v>
      </c>
      <c r="T121" s="287">
        <f t="shared" si="46"/>
        <v>313.52953469525823</v>
      </c>
      <c r="U121" s="287">
        <f t="shared" si="46"/>
        <v>327.61962753882744</v>
      </c>
      <c r="V121" s="287">
        <f t="shared" si="46"/>
        <v>269.68743996853266</v>
      </c>
      <c r="W121" s="114"/>
      <c r="X121" s="146"/>
      <c r="Y121" s="146"/>
      <c r="Z121" s="146"/>
      <c r="AA121" s="146"/>
      <c r="AB121" s="146"/>
      <c r="AD121" s="124"/>
      <c r="AE121" s="124"/>
      <c r="AF121" s="46"/>
      <c r="AG121" s="46"/>
      <c r="AH121" s="46"/>
      <c r="AI121" s="46"/>
      <c r="AJ121" s="46"/>
      <c r="AK121" s="46"/>
      <c r="AL121" s="46"/>
      <c r="AM121" s="46"/>
      <c r="AN121" s="46"/>
      <c r="AO121" s="259"/>
    </row>
    <row r="122" spans="1:41" ht="12" x14ac:dyDescent="0.25">
      <c r="H122" s="116">
        <f t="shared" si="27"/>
        <v>32</v>
      </c>
      <c r="L122" s="146"/>
      <c r="M122" s="260"/>
      <c r="N122" s="146"/>
      <c r="O122" s="287">
        <f>+O119-O121</f>
        <v>27.535858153006529</v>
      </c>
      <c r="P122" s="273" t="s">
        <v>102</v>
      </c>
      <c r="Q122" s="287">
        <f>+Q119-Q121</f>
        <v>26.630367338613951</v>
      </c>
      <c r="R122" s="287">
        <f t="shared" ref="R122:V122" si="47">+R119-R121</f>
        <v>27.047787611462354</v>
      </c>
      <c r="S122" s="287">
        <f t="shared" si="47"/>
        <v>27.535858153006529</v>
      </c>
      <c r="T122" s="287">
        <f t="shared" si="47"/>
        <v>29.295022135155932</v>
      </c>
      <c r="U122" s="287">
        <f t="shared" si="47"/>
        <v>29.922558806063023</v>
      </c>
      <c r="V122" s="287">
        <f t="shared" si="47"/>
        <v>17.574527603501394</v>
      </c>
      <c r="W122" s="114"/>
      <c r="X122" s="146"/>
      <c r="Y122" s="146"/>
      <c r="Z122" s="146"/>
      <c r="AA122" s="146"/>
      <c r="AB122" s="146"/>
      <c r="AD122" s="125"/>
      <c r="AE122" s="125"/>
      <c r="AF122" s="46"/>
      <c r="AG122" s="46"/>
      <c r="AH122" s="46"/>
      <c r="AI122" s="46"/>
      <c r="AJ122" s="46"/>
      <c r="AK122" s="46"/>
      <c r="AL122" s="46"/>
      <c r="AM122" s="46"/>
      <c r="AN122" s="46"/>
      <c r="AO122" s="259"/>
    </row>
    <row r="123" spans="1:41" s="45" customFormat="1" ht="12" x14ac:dyDescent="0.25">
      <c r="A123" s="131"/>
      <c r="B123" s="131"/>
      <c r="C123" s="131"/>
      <c r="D123" s="131"/>
      <c r="E123" s="131"/>
      <c r="F123" s="46"/>
      <c r="H123" s="116">
        <f t="shared" si="27"/>
        <v>33</v>
      </c>
      <c r="I123" s="46"/>
      <c r="W123" s="294"/>
      <c r="X123" s="257"/>
      <c r="Y123" s="257"/>
      <c r="Z123" s="257"/>
      <c r="AA123" s="257"/>
      <c r="AB123" s="257"/>
      <c r="AD123" s="124"/>
      <c r="AE123" s="124"/>
      <c r="AN123" s="46"/>
      <c r="AO123" s="259"/>
    </row>
    <row r="124" spans="1:41" ht="12" x14ac:dyDescent="0.25">
      <c r="A124" s="131" t="s">
        <v>30</v>
      </c>
      <c r="F124" s="121">
        <v>1000</v>
      </c>
      <c r="H124" s="116">
        <f t="shared" si="27"/>
        <v>34</v>
      </c>
      <c r="J124" s="289" t="s">
        <v>101</v>
      </c>
      <c r="L124" s="146"/>
      <c r="M124" s="260"/>
      <c r="N124" s="306"/>
      <c r="O124" s="290">
        <v>143</v>
      </c>
      <c r="P124" s="289" t="str">
        <f>J124</f>
        <v>Odkupna cena; vir podatkov SURS; preračuni KIS</v>
      </c>
      <c r="Q124" s="290">
        <v>143</v>
      </c>
      <c r="R124" s="290">
        <v>143</v>
      </c>
      <c r="S124" s="290">
        <v>143</v>
      </c>
      <c r="T124" s="290">
        <v>143</v>
      </c>
      <c r="U124" s="290">
        <v>143</v>
      </c>
      <c r="V124" s="290">
        <v>143</v>
      </c>
      <c r="W124" s="294"/>
      <c r="X124" s="146"/>
      <c r="Y124" s="146"/>
      <c r="Z124" s="146"/>
      <c r="AA124" s="146"/>
      <c r="AB124" s="146"/>
      <c r="AD124" s="125"/>
      <c r="AE124" s="125"/>
      <c r="AF124" s="339" t="s">
        <v>175</v>
      </c>
      <c r="AG124" s="340"/>
      <c r="AH124" s="340"/>
      <c r="AI124" s="340"/>
      <c r="AJ124" s="340"/>
      <c r="AK124" s="340"/>
      <c r="AL124" s="340"/>
      <c r="AM124" s="340"/>
      <c r="AN124" s="340"/>
      <c r="AO124" s="259"/>
    </row>
    <row r="125" spans="1:41" s="45" customFormat="1" ht="12" x14ac:dyDescent="0.25">
      <c r="A125" s="131"/>
      <c r="B125" s="131"/>
      <c r="C125" s="131"/>
      <c r="D125" s="131"/>
      <c r="E125" s="131"/>
      <c r="F125" s="46"/>
      <c r="H125" s="116">
        <f t="shared" si="27"/>
        <v>35</v>
      </c>
      <c r="I125" s="46"/>
      <c r="J125" s="190" t="str">
        <f>+J88</f>
        <v>Bruto dodana vrednost</v>
      </c>
      <c r="K125" s="46"/>
      <c r="L125" s="257"/>
      <c r="M125" s="258"/>
      <c r="N125" s="257"/>
      <c r="O125" s="292">
        <f>O113+O112+O100-O98</f>
        <v>-449.93570535322533</v>
      </c>
      <c r="P125" s="288"/>
      <c r="Q125" s="292">
        <f t="shared" ref="Q125:V125" si="48">Q113+Q112+Q100-Q98</f>
        <v>-423.03527086123654</v>
      </c>
      <c r="R125" s="292">
        <f t="shared" si="48"/>
        <v>-434.77683891794686</v>
      </c>
      <c r="S125" s="292">
        <f t="shared" si="48"/>
        <v>-449.93570535322533</v>
      </c>
      <c r="T125" s="292">
        <f t="shared" si="48"/>
        <v>-464.56156597443305</v>
      </c>
      <c r="U125" s="292">
        <f t="shared" si="48"/>
        <v>-466.58651701779308</v>
      </c>
      <c r="V125" s="292">
        <f t="shared" si="48"/>
        <v>-392.20149382594786</v>
      </c>
      <c r="W125" s="294"/>
      <c r="X125" s="257"/>
      <c r="Y125" s="257"/>
      <c r="Z125" s="257"/>
      <c r="AA125" s="257"/>
      <c r="AB125" s="257"/>
      <c r="AD125" s="125"/>
      <c r="AE125" s="125"/>
      <c r="AF125" s="192" t="str">
        <f>"letina "&amp;M90</f>
        <v xml:space="preserve">letina </v>
      </c>
      <c r="AG125" s="46"/>
      <c r="AH125" s="46"/>
      <c r="AI125" s="46"/>
      <c r="AJ125" s="46"/>
      <c r="AK125" s="46"/>
      <c r="AL125" s="46"/>
      <c r="AM125" s="46"/>
      <c r="AN125" s="46"/>
      <c r="AO125" s="259"/>
    </row>
    <row r="126" spans="1:41" ht="12" x14ac:dyDescent="0.25">
      <c r="A126" s="196" t="s">
        <v>26</v>
      </c>
      <c r="H126" s="116">
        <f t="shared" si="27"/>
        <v>36</v>
      </c>
      <c r="J126" s="275" t="s">
        <v>26</v>
      </c>
      <c r="K126" s="128"/>
      <c r="L126" s="146"/>
      <c r="M126" s="260"/>
      <c r="N126" s="146"/>
      <c r="O126" s="252">
        <v>140.57185160216687</v>
      </c>
      <c r="P126" s="284"/>
      <c r="Q126" s="252">
        <v>155.7898245658682</v>
      </c>
      <c r="R126" s="252">
        <v>147.93977736808634</v>
      </c>
      <c r="S126" s="252">
        <v>140.57185160216687</v>
      </c>
      <c r="T126" s="252">
        <v>138.73588551951207</v>
      </c>
      <c r="U126" s="252">
        <v>129.80231737435608</v>
      </c>
      <c r="V126" s="252">
        <v>112.74761603362519</v>
      </c>
      <c r="W126" s="114"/>
      <c r="X126" s="146"/>
      <c r="Y126" s="146"/>
      <c r="Z126" s="146"/>
      <c r="AA126" s="146"/>
      <c r="AB126" s="146"/>
      <c r="AD126" s="145"/>
      <c r="AE126" s="145"/>
      <c r="AF126" s="145"/>
      <c r="AG126" s="145"/>
      <c r="AH126" s="145"/>
      <c r="AI126" s="145"/>
      <c r="AJ126" s="145"/>
      <c r="AK126" s="145"/>
      <c r="AL126" s="145"/>
      <c r="AM126" s="145"/>
      <c r="AN126" s="145"/>
      <c r="AO126" s="259"/>
    </row>
    <row r="127" spans="1:41" ht="12" x14ac:dyDescent="0.25">
      <c r="G127" s="146"/>
      <c r="H127" s="116">
        <f t="shared" si="27"/>
        <v>37</v>
      </c>
      <c r="J127" s="46" t="s">
        <v>36</v>
      </c>
      <c r="K127" s="128"/>
      <c r="L127" s="146"/>
      <c r="M127" s="260"/>
      <c r="N127" s="146"/>
      <c r="O127" s="146">
        <f>+O125-O126</f>
        <v>-590.50755695539215</v>
      </c>
      <c r="Q127" s="146">
        <f>+Q125-Q126</f>
        <v>-578.82509542710477</v>
      </c>
      <c r="R127" s="146">
        <f t="shared" ref="R127" si="49">+R125-R126</f>
        <v>-582.71661628603317</v>
      </c>
      <c r="S127" s="146">
        <f t="shared" ref="S127" si="50">+S125-S126</f>
        <v>-590.50755695539215</v>
      </c>
      <c r="T127" s="146">
        <f t="shared" ref="T127" si="51">+T125-T126</f>
        <v>-603.29745149394512</v>
      </c>
      <c r="U127" s="146">
        <f t="shared" ref="U127" si="52">+U125-U126</f>
        <v>-596.38883439214919</v>
      </c>
      <c r="V127" s="146">
        <f t="shared" ref="V127" si="53">+V125-V126</f>
        <v>-504.94910985957307</v>
      </c>
      <c r="W127" s="114"/>
      <c r="X127" s="146"/>
      <c r="Y127" s="146"/>
      <c r="Z127" s="146"/>
      <c r="AA127" s="146"/>
      <c r="AB127" s="146"/>
      <c r="AD127" s="145"/>
      <c r="AE127" s="145"/>
      <c r="AF127" s="145"/>
      <c r="AG127" s="145"/>
      <c r="AH127" s="145"/>
      <c r="AI127" s="145"/>
      <c r="AJ127" s="145"/>
      <c r="AK127" s="145"/>
      <c r="AL127" s="145"/>
      <c r="AM127" s="145"/>
      <c r="AN127" s="145"/>
      <c r="AO127" s="259"/>
    </row>
    <row r="128" spans="1:41" ht="12" customHeight="1" x14ac:dyDescent="0.25">
      <c r="A128" s="213"/>
      <c r="B128" s="213"/>
      <c r="C128" s="213"/>
      <c r="D128" s="213"/>
      <c r="E128" s="213"/>
      <c r="F128" s="145"/>
      <c r="G128" s="145"/>
      <c r="H128" s="145">
        <f>1</f>
        <v>1</v>
      </c>
      <c r="I128" s="145" t="str">
        <f>+J130</f>
        <v>Oljna ogrščica</v>
      </c>
      <c r="J128" s="144" t="s">
        <v>148</v>
      </c>
      <c r="K128" s="145"/>
      <c r="L128" s="145"/>
      <c r="M128" s="145"/>
      <c r="N128" s="145"/>
      <c r="O128" s="238">
        <f>O136-O148+O141-'2023'!E103</f>
        <v>5.1097142856688094E-2</v>
      </c>
      <c r="P128" s="145"/>
      <c r="Q128" s="238">
        <f>Q136-Q148+Q141-'2023'!H103</f>
        <v>4.4709999999999916E-2</v>
      </c>
      <c r="R128" s="238">
        <f>R136-R148+R141-'2023'!I103</f>
        <v>5.1097142856688094E-2</v>
      </c>
      <c r="S128" s="238">
        <f>S136-S148+S141-'2023'!J103</f>
        <v>5.9613333333333296E-2</v>
      </c>
      <c r="T128" s="238">
        <f>T136-T148+T141-'2023'!K103</f>
        <v>7.1536000000000044E-2</v>
      </c>
      <c r="U128" s="238">
        <f>U136-U148+U141-'2023'!L103</f>
        <v>5.9613333333105922E-2</v>
      </c>
      <c r="V128" s="238">
        <f>V136-V148+V141-'2023'!M103</f>
        <v>5.1097142856688094E-2</v>
      </c>
      <c r="W128" s="145"/>
      <c r="X128" s="145"/>
      <c r="Y128" s="145"/>
      <c r="Z128" s="145"/>
      <c r="AA128" s="145"/>
      <c r="AB128" s="145"/>
      <c r="AC128" s="145"/>
      <c r="AD128" s="239"/>
      <c r="AE128" s="240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</row>
    <row r="129" spans="1:41" ht="12" x14ac:dyDescent="0.25">
      <c r="G129" s="112"/>
      <c r="H129" s="116">
        <f>H128+1</f>
        <v>2</v>
      </c>
      <c r="I129" s="46" t="str">
        <f>+I128</f>
        <v>Oljna ogrščica</v>
      </c>
      <c r="J129" s="118" t="s">
        <v>149</v>
      </c>
      <c r="K129" s="119"/>
      <c r="L129" s="119"/>
      <c r="M129" s="241"/>
      <c r="N129" s="119"/>
      <c r="O129" s="297" t="e">
        <f>#REF!</f>
        <v>#REF!</v>
      </c>
      <c r="P129" s="297"/>
      <c r="Q129" s="242" t="e">
        <f>#REF!</f>
        <v>#REF!</v>
      </c>
      <c r="R129" s="242" t="e">
        <f>#REF!</f>
        <v>#REF!</v>
      </c>
      <c r="S129" s="242" t="e">
        <f>#REF!</f>
        <v>#REF!</v>
      </c>
      <c r="T129" s="242" t="e">
        <f>#REF!</f>
        <v>#REF!</v>
      </c>
      <c r="U129" s="242" t="e">
        <f>#REF!</f>
        <v>#REF!</v>
      </c>
      <c r="V129" s="242" t="e">
        <f>#REF!</f>
        <v>#REF!</v>
      </c>
      <c r="W129" s="119"/>
      <c r="X129" s="119"/>
      <c r="Y129" s="119"/>
      <c r="Z129" s="119"/>
      <c r="AA129" s="119"/>
      <c r="AB129" s="119"/>
      <c r="AD129" s="186"/>
      <c r="AE129" s="186"/>
      <c r="AF129" s="186"/>
      <c r="AG129" s="186"/>
      <c r="AH129" s="186"/>
      <c r="AI129" s="186"/>
      <c r="AJ129" s="186"/>
      <c r="AK129" s="186"/>
      <c r="AL129" s="186"/>
      <c r="AM129" s="46"/>
      <c r="AN129" s="46"/>
      <c r="AO129" s="259"/>
    </row>
    <row r="130" spans="1:41" ht="12" customHeight="1" x14ac:dyDescent="0.25">
      <c r="F130" s="46" t="e">
        <f>#REF!</f>
        <v>#REF!</v>
      </c>
      <c r="G130" s="112"/>
      <c r="H130" s="116">
        <f t="shared" ref="H130:H164" si="54">H129+1</f>
        <v>3</v>
      </c>
      <c r="I130" s="46" t="str">
        <f>+I129</f>
        <v>Oljna ogrščica</v>
      </c>
      <c r="J130" s="122" t="s">
        <v>263</v>
      </c>
      <c r="K130" s="46" t="str">
        <f>+K$56</f>
        <v>Enota</v>
      </c>
      <c r="L130" s="186"/>
      <c r="M130" s="243"/>
      <c r="N130" s="237"/>
      <c r="O130" s="191"/>
      <c r="P130" s="191"/>
      <c r="S130" s="191"/>
      <c r="U130" s="191"/>
      <c r="V130" s="191"/>
      <c r="W130" s="191"/>
      <c r="X130" s="237" t="s">
        <v>92</v>
      </c>
      <c r="Y130" s="186"/>
      <c r="Z130" s="186"/>
      <c r="AD130" s="240"/>
      <c r="AE130" s="240"/>
      <c r="AF130" s="240"/>
      <c r="AG130" s="240"/>
      <c r="AH130" s="240"/>
      <c r="AI130" s="240"/>
      <c r="AJ130" s="240"/>
      <c r="AK130" s="240"/>
      <c r="AL130" s="240"/>
      <c r="AM130" s="46"/>
      <c r="AN130" s="46"/>
      <c r="AO130" s="259"/>
    </row>
    <row r="131" spans="1:41" ht="12" customHeight="1" x14ac:dyDescent="0.25">
      <c r="G131" s="112"/>
      <c r="H131" s="116">
        <f t="shared" si="54"/>
        <v>4</v>
      </c>
      <c r="I131" s="46" t="str">
        <f>+I130</f>
        <v>Oljna ogrščica</v>
      </c>
      <c r="J131" s="45" t="str">
        <f>+J94</f>
        <v>Model</v>
      </c>
      <c r="L131" s="186"/>
      <c r="M131" s="243"/>
      <c r="N131" s="237"/>
      <c r="O131" s="191"/>
      <c r="P131" s="191"/>
      <c r="Q131" s="186" t="s">
        <v>83</v>
      </c>
      <c r="R131" s="186" t="s">
        <v>82</v>
      </c>
      <c r="S131" s="186" t="s">
        <v>81</v>
      </c>
      <c r="T131" s="186" t="s">
        <v>80</v>
      </c>
      <c r="U131" s="186" t="s">
        <v>97</v>
      </c>
      <c r="V131" s="186" t="s">
        <v>158</v>
      </c>
      <c r="W131" s="191"/>
      <c r="X131" s="186" t="str">
        <f>+Q131</f>
        <v>M 1</v>
      </c>
      <c r="Y131" s="186" t="str">
        <f>+R131</f>
        <v>M 2</v>
      </c>
      <c r="Z131" s="186" t="str">
        <f>+T131</f>
        <v>M 4</v>
      </c>
      <c r="AA131" s="186" t="str">
        <f t="shared" ref="AA131" si="55">+U131</f>
        <v>M5</v>
      </c>
      <c r="AB131" s="186" t="str">
        <f t="shared" ref="AB131" si="56">+V131</f>
        <v>M6</v>
      </c>
      <c r="AD131" s="240"/>
      <c r="AE131" s="240"/>
      <c r="AF131" s="240"/>
      <c r="AG131" s="240"/>
      <c r="AH131" s="240"/>
      <c r="AI131" s="240"/>
      <c r="AJ131" s="240"/>
      <c r="AK131" s="240"/>
      <c r="AL131" s="240"/>
      <c r="AM131" s="46"/>
      <c r="AN131" s="46"/>
      <c r="AO131" s="259"/>
    </row>
    <row r="132" spans="1:41" ht="12" customHeight="1" x14ac:dyDescent="0.25">
      <c r="A132" s="131" t="s">
        <v>22</v>
      </c>
      <c r="G132" s="112"/>
      <c r="H132" s="116">
        <f t="shared" si="54"/>
        <v>5</v>
      </c>
      <c r="I132" s="46" t="str">
        <f>+I131</f>
        <v>Oljna ogrščica</v>
      </c>
      <c r="J132" s="45" t="str">
        <f t="shared" ref="J132:J151" si="57">+J95</f>
        <v>Intenzivnost pridelave</v>
      </c>
      <c r="K132" s="46" t="s">
        <v>20</v>
      </c>
      <c r="L132" s="245"/>
      <c r="M132" s="298"/>
      <c r="N132" s="247"/>
      <c r="O132" s="252">
        <v>3500</v>
      </c>
      <c r="Q132" s="252">
        <v>4000</v>
      </c>
      <c r="R132" s="252">
        <v>3500</v>
      </c>
      <c r="S132" s="252">
        <v>3000</v>
      </c>
      <c r="T132" s="252">
        <v>2500</v>
      </c>
      <c r="U132" s="252">
        <v>3000</v>
      </c>
      <c r="V132" s="252">
        <v>3500</v>
      </c>
      <c r="W132" s="186"/>
      <c r="X132" s="299">
        <f>Q132/$S132*100</f>
        <v>133.33333333333331</v>
      </c>
      <c r="Y132" s="299">
        <f t="shared" ref="Y132" si="58">R132/$S132*100</f>
        <v>116.66666666666667</v>
      </c>
      <c r="Z132" s="299">
        <f>T132/$S132*100</f>
        <v>83.333333333333343</v>
      </c>
      <c r="AA132" s="299">
        <f>U132/$S132*100</f>
        <v>100</v>
      </c>
      <c r="AB132" s="299">
        <f>V132/$S132*100</f>
        <v>116.66666666666667</v>
      </c>
      <c r="AD132" s="240"/>
      <c r="AE132" s="240"/>
      <c r="AF132" s="240"/>
      <c r="AG132" s="240"/>
      <c r="AH132" s="240"/>
      <c r="AI132" s="240"/>
      <c r="AJ132" s="240"/>
      <c r="AK132" s="240"/>
      <c r="AL132" s="240"/>
      <c r="AM132" s="46"/>
      <c r="AN132" s="46"/>
      <c r="AO132" s="259"/>
    </row>
    <row r="133" spans="1:41" ht="12" customHeight="1" x14ac:dyDescent="0.25">
      <c r="A133" s="131" t="s">
        <v>95</v>
      </c>
      <c r="G133" s="112"/>
      <c r="H133" s="116">
        <f t="shared" si="54"/>
        <v>6</v>
      </c>
      <c r="J133" s="45" t="str">
        <f t="shared" si="57"/>
        <v>Stranski pridelki</v>
      </c>
      <c r="L133" s="245"/>
      <c r="M133" s="298"/>
      <c r="N133" s="247"/>
      <c r="O133" s="245"/>
      <c r="Q133" s="245"/>
      <c r="R133" s="245"/>
      <c r="S133" s="245"/>
      <c r="T133" s="245"/>
      <c r="U133" s="245"/>
      <c r="V133" s="186"/>
      <c r="W133" s="186"/>
      <c r="X133" s="300" t="e">
        <f t="shared" ref="X133:X150" si="59">Q133/$S133*100</f>
        <v>#DIV/0!</v>
      </c>
      <c r="Y133" s="300" t="e">
        <f t="shared" ref="Y133:Y150" si="60">R133/$S133*100</f>
        <v>#DIV/0!</v>
      </c>
      <c r="Z133" s="300" t="e">
        <f t="shared" ref="Z133:Z150" si="61">T133/$S133*100</f>
        <v>#DIV/0!</v>
      </c>
      <c r="AA133" s="300" t="e">
        <f t="shared" ref="AA133:AA150" si="62">U133/$S133*100</f>
        <v>#DIV/0!</v>
      </c>
      <c r="AB133" s="300" t="e">
        <f t="shared" ref="AB133:AB150" si="63">V133/$S133*100</f>
        <v>#DIV/0!</v>
      </c>
      <c r="AD133" s="146"/>
      <c r="AE133" s="146"/>
      <c r="AF133" s="146"/>
      <c r="AG133" s="146"/>
      <c r="AH133" s="146"/>
      <c r="AI133" s="146"/>
      <c r="AJ133" s="146"/>
      <c r="AK133" s="146"/>
      <c r="AL133" s="146"/>
      <c r="AM133" s="46"/>
      <c r="AN133" s="46"/>
      <c r="AO133" s="259"/>
    </row>
    <row r="134" spans="1:41" ht="12" customHeight="1" x14ac:dyDescent="0.25">
      <c r="A134" s="131" t="s">
        <v>91</v>
      </c>
      <c r="G134" s="112"/>
      <c r="H134" s="116">
        <f t="shared" si="54"/>
        <v>7</v>
      </c>
      <c r="I134" s="46" t="str">
        <f>+I132</f>
        <v>Oljna ogrščica</v>
      </c>
      <c r="J134" s="45" t="str">
        <f t="shared" si="57"/>
        <v>Velikost parcele</v>
      </c>
      <c r="K134" s="46" t="s">
        <v>89</v>
      </c>
      <c r="L134" s="186"/>
      <c r="M134" s="243"/>
      <c r="N134" s="237"/>
      <c r="O134" s="252">
        <v>1</v>
      </c>
      <c r="Q134" s="252">
        <v>1</v>
      </c>
      <c r="R134" s="252">
        <v>1</v>
      </c>
      <c r="S134" s="252">
        <v>1</v>
      </c>
      <c r="T134" s="252">
        <v>1</v>
      </c>
      <c r="U134" s="252">
        <v>5</v>
      </c>
      <c r="V134" s="252">
        <v>5</v>
      </c>
      <c r="W134" s="245"/>
      <c r="X134" s="300">
        <f t="shared" si="59"/>
        <v>100</v>
      </c>
      <c r="Y134" s="300">
        <f t="shared" si="60"/>
        <v>100</v>
      </c>
      <c r="Z134" s="300">
        <f t="shared" si="61"/>
        <v>100</v>
      </c>
      <c r="AA134" s="300">
        <f t="shared" si="62"/>
        <v>500</v>
      </c>
      <c r="AB134" s="300">
        <f t="shared" si="63"/>
        <v>500</v>
      </c>
      <c r="AD134" s="191"/>
      <c r="AE134" s="191"/>
      <c r="AF134" s="191"/>
      <c r="AG134" s="191"/>
      <c r="AH134" s="191"/>
      <c r="AI134" s="191"/>
      <c r="AJ134" s="191"/>
      <c r="AK134" s="191"/>
      <c r="AL134" s="191"/>
      <c r="AM134" s="46"/>
      <c r="AN134" s="46"/>
      <c r="AO134" s="259"/>
    </row>
    <row r="135" spans="1:41" ht="12" customHeight="1" x14ac:dyDescent="0.25">
      <c r="A135" s="196" t="s">
        <v>27</v>
      </c>
      <c r="G135" s="112"/>
      <c r="H135" s="116">
        <f t="shared" si="54"/>
        <v>8</v>
      </c>
      <c r="I135" s="46" t="str">
        <f>+I130</f>
        <v>Oljna ogrščica</v>
      </c>
      <c r="J135" s="45" t="str">
        <f t="shared" si="57"/>
        <v>Kupljen material in storitve</v>
      </c>
      <c r="O135" s="252">
        <v>1742.1976327201946</v>
      </c>
      <c r="Q135" s="252">
        <v>1912.0586079946274</v>
      </c>
      <c r="R135" s="252">
        <v>1742.1976327201946</v>
      </c>
      <c r="S135" s="252">
        <v>1568.9043276312789</v>
      </c>
      <c r="T135" s="252">
        <v>1387.1746116261113</v>
      </c>
      <c r="U135" s="252">
        <v>1537.9763994217005</v>
      </c>
      <c r="V135" s="252">
        <v>1710.505538024011</v>
      </c>
      <c r="W135" s="249"/>
      <c r="X135" s="299">
        <f t="shared" si="59"/>
        <v>121.87222473160237</v>
      </c>
      <c r="Y135" s="299">
        <f t="shared" si="60"/>
        <v>111.04549857100292</v>
      </c>
      <c r="Z135" s="299">
        <f t="shared" si="61"/>
        <v>88.416775146541809</v>
      </c>
      <c r="AA135" s="299">
        <f t="shared" si="62"/>
        <v>98.028692529883372</v>
      </c>
      <c r="AB135" s="299">
        <f t="shared" si="63"/>
        <v>109.02548408458537</v>
      </c>
      <c r="AD135" s="124"/>
      <c r="AE135" s="124"/>
      <c r="AF135" s="124"/>
      <c r="AG135" s="124"/>
      <c r="AH135" s="124"/>
      <c r="AI135" s="124"/>
      <c r="AJ135" s="124"/>
      <c r="AK135" s="124"/>
      <c r="AL135" s="124"/>
      <c r="AM135" s="45"/>
      <c r="AN135" s="45"/>
      <c r="AO135" s="259"/>
    </row>
    <row r="136" spans="1:41" s="45" customFormat="1" ht="12" customHeight="1" x14ac:dyDescent="0.25">
      <c r="A136" s="131" t="s">
        <v>6</v>
      </c>
      <c r="B136" s="131"/>
      <c r="C136" s="131"/>
      <c r="D136" s="131"/>
      <c r="E136" s="131"/>
      <c r="F136" s="46"/>
      <c r="G136" s="112"/>
      <c r="H136" s="116">
        <f t="shared" si="54"/>
        <v>9</v>
      </c>
      <c r="I136" s="46" t="str">
        <f t="shared" ref="I136:I141" si="64">+I135</f>
        <v>Oljna ogrščica</v>
      </c>
      <c r="J136" s="45" t="str">
        <f t="shared" si="57"/>
        <v>Stroški skupaj</v>
      </c>
      <c r="K136" s="46" t="str">
        <f>+K$62</f>
        <v>EUR/ha</v>
      </c>
      <c r="L136" s="125"/>
      <c r="M136" s="307"/>
      <c r="N136" s="124"/>
      <c r="O136" s="252">
        <v>2179.6476038157816</v>
      </c>
      <c r="P136" s="124"/>
      <c r="Q136" s="252">
        <v>2353.2481915940389</v>
      </c>
      <c r="R136" s="252">
        <v>2179.6476038157816</v>
      </c>
      <c r="S136" s="252">
        <v>1989.5467905560581</v>
      </c>
      <c r="T136" s="252">
        <v>1784.4953534509582</v>
      </c>
      <c r="U136" s="252">
        <v>1886.6794156064404</v>
      </c>
      <c r="V136" s="252">
        <v>2073.9562465403565</v>
      </c>
      <c r="W136" s="294"/>
      <c r="X136" s="300">
        <f t="shared" si="59"/>
        <v>118.28061560373403</v>
      </c>
      <c r="Y136" s="300">
        <f t="shared" si="60"/>
        <v>109.55498077060012</v>
      </c>
      <c r="Z136" s="300">
        <f t="shared" si="61"/>
        <v>89.693560459174222</v>
      </c>
      <c r="AA136" s="300">
        <f t="shared" si="62"/>
        <v>94.829607655476792</v>
      </c>
      <c r="AB136" s="300">
        <f t="shared" si="63"/>
        <v>104.24264744036036</v>
      </c>
      <c r="AD136" s="125"/>
      <c r="AE136" s="125"/>
      <c r="AF136" s="125"/>
      <c r="AG136" s="125"/>
      <c r="AH136" s="125"/>
      <c r="AI136" s="125"/>
      <c r="AJ136" s="125"/>
      <c r="AK136" s="125"/>
      <c r="AL136" s="125"/>
      <c r="AM136" s="46"/>
      <c r="AN136" s="46"/>
      <c r="AO136" s="259"/>
    </row>
    <row r="137" spans="1:41" ht="12" customHeight="1" x14ac:dyDescent="0.25">
      <c r="A137" s="131" t="s">
        <v>5</v>
      </c>
      <c r="G137" s="112"/>
      <c r="H137" s="116">
        <f t="shared" si="54"/>
        <v>10</v>
      </c>
      <c r="I137" s="46" t="str">
        <f t="shared" si="64"/>
        <v>Oljna ogrščica</v>
      </c>
      <c r="J137" s="45" t="str">
        <f t="shared" si="57"/>
        <v>Stranski pridelki</v>
      </c>
      <c r="K137" s="46" t="str">
        <f>+K$63</f>
        <v>EUR/ha</v>
      </c>
      <c r="L137" s="125"/>
      <c r="M137" s="307"/>
      <c r="N137" s="125"/>
      <c r="O137" s="252">
        <v>0</v>
      </c>
      <c r="P137" s="125"/>
      <c r="Q137" s="252">
        <v>0</v>
      </c>
      <c r="R137" s="252">
        <v>0</v>
      </c>
      <c r="S137" s="252">
        <v>0</v>
      </c>
      <c r="T137" s="252">
        <v>0</v>
      </c>
      <c r="U137" s="252">
        <v>0</v>
      </c>
      <c r="V137" s="252">
        <v>0</v>
      </c>
      <c r="W137" s="114"/>
      <c r="X137" s="300" t="e">
        <f t="shared" si="59"/>
        <v>#DIV/0!</v>
      </c>
      <c r="Y137" s="300" t="e">
        <f t="shared" si="60"/>
        <v>#DIV/0!</v>
      </c>
      <c r="Z137" s="300" t="e">
        <f t="shared" si="61"/>
        <v>#DIV/0!</v>
      </c>
      <c r="AA137" s="300" t="e">
        <f t="shared" si="62"/>
        <v>#DIV/0!</v>
      </c>
      <c r="AB137" s="300" t="e">
        <f t="shared" si="63"/>
        <v>#DIV/0!</v>
      </c>
      <c r="AD137" s="125"/>
      <c r="AE137" s="125"/>
      <c r="AF137" s="125"/>
      <c r="AG137" s="125"/>
      <c r="AH137" s="125"/>
      <c r="AI137" s="125"/>
      <c r="AJ137" s="125"/>
      <c r="AK137" s="125"/>
      <c r="AL137" s="125"/>
      <c r="AM137" s="46"/>
      <c r="AN137" s="46"/>
      <c r="AO137" s="259"/>
    </row>
    <row r="138" spans="1:41" ht="12" customHeight="1" x14ac:dyDescent="0.25">
      <c r="G138" s="112"/>
      <c r="H138" s="116">
        <f t="shared" si="54"/>
        <v>11</v>
      </c>
      <c r="I138" s="46" t="str">
        <f t="shared" si="64"/>
        <v>Oljna ogrščica</v>
      </c>
      <c r="J138" s="45" t="str">
        <f t="shared" si="57"/>
        <v>Stroški glavnega pridelka</v>
      </c>
      <c r="K138" s="46" t="str">
        <f>+K$64</f>
        <v>EUR/ha</v>
      </c>
      <c r="L138" s="308"/>
      <c r="M138" s="307"/>
      <c r="N138" s="308"/>
      <c r="O138" s="262">
        <f>+O136-O137</f>
        <v>2179.6476038157816</v>
      </c>
      <c r="P138" s="125"/>
      <c r="Q138" s="262">
        <f>+Q136-Q137</f>
        <v>2353.2481915940389</v>
      </c>
      <c r="R138" s="262">
        <f t="shared" ref="R138:V138" si="65">+R136-R137</f>
        <v>2179.6476038157816</v>
      </c>
      <c r="S138" s="262">
        <f t="shared" si="65"/>
        <v>1989.5467905560581</v>
      </c>
      <c r="T138" s="262">
        <f t="shared" si="65"/>
        <v>1784.4953534509582</v>
      </c>
      <c r="U138" s="262">
        <f t="shared" si="65"/>
        <v>1886.6794156064404</v>
      </c>
      <c r="V138" s="262">
        <f t="shared" si="65"/>
        <v>2073.9562465403565</v>
      </c>
      <c r="W138" s="114"/>
      <c r="X138" s="300">
        <f t="shared" si="59"/>
        <v>118.28061560373403</v>
      </c>
      <c r="Y138" s="300">
        <f t="shared" si="60"/>
        <v>109.55498077060012</v>
      </c>
      <c r="Z138" s="300">
        <f t="shared" si="61"/>
        <v>89.693560459174222</v>
      </c>
      <c r="AA138" s="300">
        <f t="shared" si="62"/>
        <v>94.829607655476792</v>
      </c>
      <c r="AB138" s="300">
        <f t="shared" si="63"/>
        <v>104.24264744036036</v>
      </c>
      <c r="AD138" s="125"/>
      <c r="AE138" s="125"/>
      <c r="AF138" s="125"/>
      <c r="AG138" s="125"/>
      <c r="AH138" s="125"/>
      <c r="AI138" s="125"/>
      <c r="AJ138" s="125"/>
      <c r="AK138" s="125"/>
      <c r="AL138" s="125"/>
      <c r="AM138" s="46"/>
      <c r="AN138" s="46"/>
      <c r="AO138" s="259"/>
    </row>
    <row r="139" spans="1:41" ht="12" customHeight="1" x14ac:dyDescent="0.25">
      <c r="A139" s="131" t="s">
        <v>4</v>
      </c>
      <c r="B139" s="131" t="s">
        <v>0</v>
      </c>
      <c r="C139" s="131" t="s">
        <v>2</v>
      </c>
      <c r="D139" s="131" t="s">
        <v>1</v>
      </c>
      <c r="E139" s="131" t="s">
        <v>0</v>
      </c>
      <c r="G139" s="112"/>
      <c r="H139" s="116">
        <f t="shared" si="54"/>
        <v>12</v>
      </c>
      <c r="I139" s="46" t="str">
        <f t="shared" si="64"/>
        <v>Oljna ogrščica</v>
      </c>
      <c r="J139" s="45" t="str">
        <f t="shared" si="57"/>
        <v>Subvencije</v>
      </c>
      <c r="K139" s="46" t="str">
        <f>+K$65</f>
        <v>EUR/ha</v>
      </c>
      <c r="L139" s="125"/>
      <c r="M139" s="307"/>
      <c r="N139" s="125"/>
      <c r="O139" s="252">
        <v>23.94</v>
      </c>
      <c r="P139" s="125"/>
      <c r="Q139" s="252">
        <v>23.94</v>
      </c>
      <c r="R139" s="252">
        <v>23.94</v>
      </c>
      <c r="S139" s="252">
        <v>23.94</v>
      </c>
      <c r="T139" s="252">
        <v>23.94</v>
      </c>
      <c r="U139" s="252">
        <v>23.94</v>
      </c>
      <c r="V139" s="252">
        <v>23.94</v>
      </c>
      <c r="W139" s="114"/>
      <c r="X139" s="300">
        <f t="shared" si="59"/>
        <v>100</v>
      </c>
      <c r="Y139" s="300">
        <f t="shared" si="60"/>
        <v>100</v>
      </c>
      <c r="Z139" s="300">
        <f t="shared" si="61"/>
        <v>100</v>
      </c>
      <c r="AA139" s="300">
        <f t="shared" si="62"/>
        <v>100</v>
      </c>
      <c r="AB139" s="300">
        <f t="shared" si="63"/>
        <v>100</v>
      </c>
      <c r="AD139" s="125"/>
      <c r="AE139" s="125"/>
      <c r="AF139" s="125"/>
      <c r="AG139" s="125"/>
      <c r="AH139" s="125"/>
      <c r="AI139" s="125"/>
      <c r="AJ139" s="125"/>
      <c r="AK139" s="125"/>
      <c r="AL139" s="125"/>
      <c r="AM139" s="46"/>
      <c r="AN139" s="46"/>
      <c r="AO139" s="259"/>
    </row>
    <row r="140" spans="1:41" ht="12" customHeight="1" x14ac:dyDescent="0.25">
      <c r="C140" s="131" t="s">
        <v>13</v>
      </c>
      <c r="G140" s="112"/>
      <c r="H140" s="116">
        <f t="shared" si="54"/>
        <v>13</v>
      </c>
      <c r="I140" s="46" t="str">
        <f t="shared" si="64"/>
        <v>Oljna ogrščica</v>
      </c>
      <c r="J140" s="45" t="str">
        <f t="shared" si="57"/>
        <v>Stroški, zmanjšani za subvencije</v>
      </c>
      <c r="K140" s="46" t="str">
        <f>+K$66</f>
        <v>EUR/ha</v>
      </c>
      <c r="L140" s="308"/>
      <c r="M140" s="307"/>
      <c r="N140" s="308"/>
      <c r="O140" s="264">
        <f>+O138-O139</f>
        <v>2155.7076038157816</v>
      </c>
      <c r="P140" s="125"/>
      <c r="Q140" s="264">
        <f>+Q138-Q139</f>
        <v>2329.3081915940388</v>
      </c>
      <c r="R140" s="264">
        <f t="shared" ref="R140:V140" si="66">+R138-R139</f>
        <v>2155.7076038157816</v>
      </c>
      <c r="S140" s="264">
        <f t="shared" si="66"/>
        <v>1965.6067905560581</v>
      </c>
      <c r="T140" s="264">
        <f t="shared" si="66"/>
        <v>1760.5553534509581</v>
      </c>
      <c r="U140" s="264">
        <f t="shared" si="66"/>
        <v>1862.7394156064404</v>
      </c>
      <c r="V140" s="264">
        <f t="shared" si="66"/>
        <v>2050.0162465403564</v>
      </c>
      <c r="W140" s="114"/>
      <c r="X140" s="300">
        <f t="shared" si="59"/>
        <v>118.50326335793193</v>
      </c>
      <c r="Y140" s="300">
        <f t="shared" si="60"/>
        <v>109.67135513435753</v>
      </c>
      <c r="Z140" s="300">
        <f t="shared" si="61"/>
        <v>89.568033744577562</v>
      </c>
      <c r="AA140" s="300">
        <f t="shared" si="62"/>
        <v>94.766635145754805</v>
      </c>
      <c r="AB140" s="300">
        <f t="shared" si="63"/>
        <v>104.29432053195235</v>
      </c>
      <c r="AD140" s="125"/>
      <c r="AE140" s="125"/>
      <c r="AF140" s="125"/>
      <c r="AG140" s="125"/>
      <c r="AH140" s="125"/>
      <c r="AI140" s="125"/>
      <c r="AJ140" s="125"/>
      <c r="AK140" s="125"/>
      <c r="AL140" s="125"/>
      <c r="AM140" s="46"/>
      <c r="AN140" s="46"/>
      <c r="AO140" s="259"/>
    </row>
    <row r="141" spans="1:41" ht="12" customHeight="1" x14ac:dyDescent="0.25">
      <c r="G141" s="112"/>
      <c r="H141" s="116">
        <f t="shared" si="54"/>
        <v>14</v>
      </c>
      <c r="I141" s="46" t="str">
        <f t="shared" si="64"/>
        <v>Oljna ogrščica</v>
      </c>
      <c r="J141" s="45" t="str">
        <f t="shared" si="57"/>
        <v>Stroški, zmanjšani za subvencije/kg</v>
      </c>
      <c r="K141" s="46" t="str">
        <f>+K$67</f>
        <v>EUR/kg</v>
      </c>
      <c r="L141" s="309"/>
      <c r="M141" s="310"/>
      <c r="N141" s="308"/>
      <c r="O141" s="270">
        <f>+O140/O132</f>
        <v>0.6159164582330805</v>
      </c>
      <c r="P141" s="311"/>
      <c r="Q141" s="270">
        <f>+Q140/Q132</f>
        <v>0.58232704789850975</v>
      </c>
      <c r="R141" s="270">
        <f t="shared" ref="R141:V141" si="67">+R140/R132</f>
        <v>0.6159164582330805</v>
      </c>
      <c r="S141" s="270">
        <f t="shared" si="67"/>
        <v>0.65520226351868605</v>
      </c>
      <c r="T141" s="270">
        <f t="shared" si="67"/>
        <v>0.7042221413803833</v>
      </c>
      <c r="U141" s="270">
        <f t="shared" si="67"/>
        <v>0.62091313853548014</v>
      </c>
      <c r="V141" s="270">
        <f t="shared" si="67"/>
        <v>0.58571892758295896</v>
      </c>
      <c r="W141" s="278"/>
      <c r="X141" s="269">
        <f t="shared" si="59"/>
        <v>88.877447518448946</v>
      </c>
      <c r="Y141" s="269">
        <f t="shared" si="60"/>
        <v>94.004018686592175</v>
      </c>
      <c r="Z141" s="269">
        <f t="shared" si="61"/>
        <v>107.48164049349309</v>
      </c>
      <c r="AA141" s="269">
        <f t="shared" si="62"/>
        <v>94.766635145754805</v>
      </c>
      <c r="AB141" s="269">
        <f t="shared" si="63"/>
        <v>89.395131884530571</v>
      </c>
      <c r="AD141" s="125"/>
      <c r="AE141" s="125"/>
      <c r="AF141" s="125"/>
      <c r="AG141" s="125"/>
      <c r="AH141" s="125"/>
      <c r="AI141" s="125"/>
      <c r="AJ141" s="125"/>
      <c r="AK141" s="125"/>
      <c r="AL141" s="125"/>
      <c r="AM141" s="46"/>
      <c r="AN141" s="46"/>
      <c r="AO141" s="259"/>
    </row>
    <row r="142" spans="1:41" ht="12" customHeight="1" x14ac:dyDescent="0.25">
      <c r="A142" s="131" t="s">
        <v>169</v>
      </c>
      <c r="G142" s="112"/>
      <c r="H142" s="116">
        <f t="shared" si="54"/>
        <v>15</v>
      </c>
      <c r="J142" s="45" t="str">
        <f t="shared" si="57"/>
        <v>davek_a</v>
      </c>
      <c r="L142" s="125"/>
      <c r="M142" s="307"/>
      <c r="N142" s="125"/>
      <c r="O142" s="117">
        <v>31.814532920780621</v>
      </c>
      <c r="P142" s="125"/>
      <c r="Q142" s="117">
        <v>31.707026437223401</v>
      </c>
      <c r="R142" s="117">
        <v>31.814532920780621</v>
      </c>
      <c r="S142" s="117">
        <v>32.548476367489464</v>
      </c>
      <c r="T142" s="117">
        <v>33.534290071969124</v>
      </c>
      <c r="U142" s="117">
        <v>35.424575726543665</v>
      </c>
      <c r="V142" s="117">
        <v>34.78938332843309</v>
      </c>
      <c r="W142" s="114"/>
      <c r="X142" s="300">
        <f t="shared" si="59"/>
        <v>97.414779356287994</v>
      </c>
      <c r="Y142" s="300">
        <f t="shared" si="60"/>
        <v>97.745075872608496</v>
      </c>
      <c r="Z142" s="300">
        <f t="shared" si="61"/>
        <v>103.02875530439368</v>
      </c>
      <c r="AA142" s="300">
        <f t="shared" si="62"/>
        <v>108.8363563522345</v>
      </c>
      <c r="AB142" s="300">
        <f t="shared" si="63"/>
        <v>106.88482906432426</v>
      </c>
      <c r="AD142" s="125"/>
      <c r="AE142" s="125"/>
      <c r="AF142" s="125"/>
      <c r="AG142" s="125"/>
      <c r="AH142" s="125"/>
      <c r="AI142" s="125"/>
      <c r="AJ142" s="125"/>
      <c r="AK142" s="125"/>
      <c r="AL142" s="125"/>
      <c r="AM142" s="46"/>
      <c r="AN142" s="46"/>
      <c r="AO142" s="259"/>
    </row>
    <row r="143" spans="1:41" s="45" customFormat="1" ht="12" customHeight="1" x14ac:dyDescent="0.25">
      <c r="A143" s="46" t="s">
        <v>113</v>
      </c>
      <c r="B143" s="131"/>
      <c r="C143" s="131"/>
      <c r="D143" s="131"/>
      <c r="E143" s="131"/>
      <c r="F143" s="46"/>
      <c r="G143" s="46"/>
      <c r="H143" s="116">
        <f t="shared" si="54"/>
        <v>16</v>
      </c>
      <c r="I143" s="46"/>
      <c r="J143" s="45" t="str">
        <f t="shared" si="57"/>
        <v>Pokoj obvezno</v>
      </c>
      <c r="K143" s="46"/>
      <c r="L143" s="125"/>
      <c r="M143" s="307"/>
      <c r="N143" s="125"/>
      <c r="O143" s="117">
        <v>19.854216620871352</v>
      </c>
      <c r="P143" s="125"/>
      <c r="Q143" s="117">
        <v>19.990693358543208</v>
      </c>
      <c r="R143" s="117">
        <v>19.854216620871352</v>
      </c>
      <c r="S143" s="117">
        <v>18.922494143043728</v>
      </c>
      <c r="T143" s="117">
        <v>17.661529495891948</v>
      </c>
      <c r="U143" s="117">
        <v>15.217590999912623</v>
      </c>
      <c r="V143" s="117">
        <v>16.023951541339525</v>
      </c>
      <c r="W143" s="114"/>
      <c r="X143" s="300">
        <f t="shared" si="59"/>
        <v>105.64512905869847</v>
      </c>
      <c r="Y143" s="300">
        <f t="shared" si="60"/>
        <v>104.92388831400507</v>
      </c>
      <c r="Z143" s="300">
        <f t="shared" si="61"/>
        <v>93.336160457392268</v>
      </c>
      <c r="AA143" s="300">
        <f t="shared" si="62"/>
        <v>80.420640560784122</v>
      </c>
      <c r="AB143" s="300">
        <f t="shared" si="63"/>
        <v>84.682026693770894</v>
      </c>
      <c r="AD143" s="124"/>
      <c r="AE143" s="124"/>
      <c r="AF143" s="124"/>
      <c r="AG143" s="124"/>
      <c r="AH143" s="124"/>
      <c r="AI143" s="124"/>
      <c r="AJ143" s="124"/>
      <c r="AK143" s="124"/>
      <c r="AL143" s="124"/>
      <c r="AM143" s="46"/>
      <c r="AN143" s="46"/>
      <c r="AO143" s="259"/>
    </row>
    <row r="144" spans="1:41" s="45" customFormat="1" ht="12" customHeight="1" x14ac:dyDescent="0.25">
      <c r="A144" s="46" t="s">
        <v>112</v>
      </c>
      <c r="B144" s="131"/>
      <c r="C144" s="131"/>
      <c r="D144" s="131"/>
      <c r="E144" s="131"/>
      <c r="F144" s="46"/>
      <c r="G144" s="46"/>
      <c r="H144" s="116">
        <f t="shared" si="54"/>
        <v>17</v>
      </c>
      <c r="I144" s="46"/>
      <c r="J144" s="45" t="str">
        <f t="shared" si="57"/>
        <v>Zdrav obvezno</v>
      </c>
      <c r="K144" s="46"/>
      <c r="L144" s="124"/>
      <c r="M144" s="312"/>
      <c r="N144" s="124"/>
      <c r="O144" s="117">
        <v>9.0817029575469554</v>
      </c>
      <c r="P144" s="124"/>
      <c r="Q144" s="117">
        <v>9.1441300588433094</v>
      </c>
      <c r="R144" s="117">
        <v>9.0817029575469554</v>
      </c>
      <c r="S144" s="117">
        <v>8.6555150628503235</v>
      </c>
      <c r="T144" s="117">
        <v>8.0787254274757352</v>
      </c>
      <c r="U144" s="117">
        <v>6.9608206573793865</v>
      </c>
      <c r="V144" s="117">
        <v>7.3296655760062688</v>
      </c>
      <c r="W144" s="294"/>
      <c r="X144" s="300">
        <f t="shared" si="59"/>
        <v>105.64512905869844</v>
      </c>
      <c r="Y144" s="300">
        <f t="shared" si="60"/>
        <v>104.92388831400503</v>
      </c>
      <c r="Z144" s="300">
        <f t="shared" si="61"/>
        <v>93.336160457392268</v>
      </c>
      <c r="AA144" s="300">
        <f t="shared" si="62"/>
        <v>80.420640560784122</v>
      </c>
      <c r="AB144" s="300">
        <f t="shared" si="63"/>
        <v>84.682026693770865</v>
      </c>
      <c r="AD144" s="125"/>
      <c r="AE144" s="125"/>
      <c r="AF144" s="125"/>
      <c r="AG144" s="125"/>
      <c r="AH144" s="125"/>
      <c r="AI144" s="125"/>
      <c r="AJ144" s="125"/>
      <c r="AK144" s="125"/>
      <c r="AL144" s="125"/>
      <c r="AM144" s="46"/>
      <c r="AN144" s="46"/>
      <c r="AO144" s="259"/>
    </row>
    <row r="145" spans="1:41" ht="12" customHeight="1" x14ac:dyDescent="0.25">
      <c r="A145" s="46" t="s">
        <v>111</v>
      </c>
      <c r="H145" s="116">
        <f t="shared" si="54"/>
        <v>18</v>
      </c>
      <c r="J145" s="45" t="str">
        <f t="shared" si="57"/>
        <v>Pokoj dodatno</v>
      </c>
      <c r="L145" s="125"/>
      <c r="M145" s="307"/>
      <c r="N145" s="125"/>
      <c r="O145" s="117">
        <v>16.777085822517599</v>
      </c>
      <c r="P145" s="125"/>
      <c r="Q145" s="117">
        <v>16.892410540909715</v>
      </c>
      <c r="R145" s="117">
        <v>16.777085822517599</v>
      </c>
      <c r="S145" s="117">
        <v>15.98976752778063</v>
      </c>
      <c r="T145" s="117">
        <v>14.924235076493337</v>
      </c>
      <c r="U145" s="117">
        <v>12.859073470021441</v>
      </c>
      <c r="V145" s="117">
        <v>13.540459206147105</v>
      </c>
      <c r="W145" s="114"/>
      <c r="X145" s="300">
        <f t="shared" si="59"/>
        <v>105.64512905869852</v>
      </c>
      <c r="Y145" s="300">
        <f t="shared" si="60"/>
        <v>104.92388831400507</v>
      </c>
      <c r="Z145" s="300">
        <f t="shared" si="61"/>
        <v>93.336160457392296</v>
      </c>
      <c r="AA145" s="300">
        <f t="shared" si="62"/>
        <v>80.420640560784136</v>
      </c>
      <c r="AB145" s="300">
        <f t="shared" si="63"/>
        <v>84.682026693770908</v>
      </c>
      <c r="AD145" s="124"/>
      <c r="AE145" s="124"/>
      <c r="AF145" s="124"/>
      <c r="AG145" s="124"/>
      <c r="AH145" s="124"/>
      <c r="AI145" s="124"/>
      <c r="AJ145" s="124"/>
      <c r="AK145" s="124"/>
      <c r="AL145" s="124"/>
      <c r="AM145" s="46"/>
      <c r="AN145" s="46"/>
      <c r="AO145" s="259"/>
    </row>
    <row r="146" spans="1:41" s="45" customFormat="1" ht="12" customHeight="1" x14ac:dyDescent="0.25">
      <c r="A146" s="46" t="s">
        <v>110</v>
      </c>
      <c r="B146" s="131"/>
      <c r="C146" s="131"/>
      <c r="D146" s="131"/>
      <c r="E146" s="131"/>
      <c r="F146" s="46"/>
      <c r="G146" s="46"/>
      <c r="H146" s="116">
        <f t="shared" si="54"/>
        <v>19</v>
      </c>
      <c r="I146" s="46"/>
      <c r="J146" s="45" t="str">
        <f t="shared" si="57"/>
        <v>Zdrav dodatno</v>
      </c>
      <c r="K146" s="46"/>
      <c r="L146" s="124"/>
      <c r="M146" s="312"/>
      <c r="N146" s="124"/>
      <c r="O146" s="117">
        <v>7.674163773009659</v>
      </c>
      <c r="P146" s="124"/>
      <c r="Q146" s="117">
        <v>7.726915531293538</v>
      </c>
      <c r="R146" s="117">
        <v>7.674163773009659</v>
      </c>
      <c r="S146" s="117">
        <v>7.314029146578366</v>
      </c>
      <c r="T146" s="117">
        <v>6.826633980150822</v>
      </c>
      <c r="U146" s="117">
        <v>5.8819890904807739</v>
      </c>
      <c r="V146" s="117">
        <v>6.193668114295674</v>
      </c>
      <c r="W146" s="294"/>
      <c r="X146" s="300">
        <f t="shared" si="59"/>
        <v>105.64512905869847</v>
      </c>
      <c r="Y146" s="300">
        <f t="shared" si="60"/>
        <v>104.92388831400501</v>
      </c>
      <c r="Z146" s="300">
        <f t="shared" si="61"/>
        <v>93.336160457392268</v>
      </c>
      <c r="AA146" s="300">
        <f t="shared" si="62"/>
        <v>80.420640560784122</v>
      </c>
      <c r="AB146" s="300">
        <f t="shared" si="63"/>
        <v>84.682026693770879</v>
      </c>
      <c r="AD146" s="125"/>
      <c r="AE146" s="125"/>
      <c r="AF146" s="339" t="s">
        <v>177</v>
      </c>
      <c r="AG146" s="340"/>
      <c r="AH146" s="340"/>
      <c r="AI146" s="340"/>
      <c r="AJ146" s="340"/>
      <c r="AK146" s="340"/>
      <c r="AL146" s="340"/>
      <c r="AM146" s="340"/>
      <c r="AN146" s="340"/>
      <c r="AO146" s="259"/>
    </row>
    <row r="147" spans="1:41" ht="12" customHeight="1" x14ac:dyDescent="0.25">
      <c r="A147" s="46" t="s">
        <v>109</v>
      </c>
      <c r="H147" s="116">
        <f t="shared" si="54"/>
        <v>20</v>
      </c>
      <c r="J147" s="45" t="str">
        <f t="shared" si="57"/>
        <v>Regresi</v>
      </c>
      <c r="L147" s="125"/>
      <c r="M147" s="307"/>
      <c r="N147" s="125"/>
      <c r="O147" s="117">
        <v>50.335282851075519</v>
      </c>
      <c r="P147" s="125"/>
      <c r="Q147" s="117">
        <v>50.681284676505591</v>
      </c>
      <c r="R147" s="117">
        <v>50.335282851075519</v>
      </c>
      <c r="S147" s="117">
        <v>47.973139062896195</v>
      </c>
      <c r="T147" s="117">
        <v>44.776286052192717</v>
      </c>
      <c r="U147" s="117">
        <v>38.580305731496871</v>
      </c>
      <c r="V147" s="117">
        <v>40.62462642708158</v>
      </c>
      <c r="W147" s="294"/>
      <c r="X147" s="300">
        <f t="shared" si="59"/>
        <v>105.6451290586985</v>
      </c>
      <c r="Y147" s="300">
        <f t="shared" si="60"/>
        <v>104.92388831400503</v>
      </c>
      <c r="Z147" s="300">
        <f t="shared" si="61"/>
        <v>93.336160457392253</v>
      </c>
      <c r="AA147" s="300">
        <f t="shared" si="62"/>
        <v>80.420640560784136</v>
      </c>
      <c r="AB147" s="300">
        <f t="shared" si="63"/>
        <v>84.682026693770879</v>
      </c>
      <c r="AD147" s="125"/>
      <c r="AE147" s="125"/>
      <c r="AF147" s="192" t="str">
        <f>"letina "&amp;M128&amp;", upoštevani stroški zmanjšani za subvencije"</f>
        <v>letina , upoštevani stroški zmanjšani za subvencije</v>
      </c>
      <c r="AG147" s="46"/>
      <c r="AH147" s="46"/>
      <c r="AI147" s="46"/>
      <c r="AJ147" s="46"/>
      <c r="AK147" s="46"/>
      <c r="AL147" s="46"/>
      <c r="AM147" s="46"/>
      <c r="AN147" s="46"/>
      <c r="AO147" s="259"/>
    </row>
    <row r="148" spans="1:41" ht="12" customHeight="1" x14ac:dyDescent="0.25">
      <c r="A148" s="131" t="s">
        <v>28</v>
      </c>
      <c r="H148" s="116">
        <f t="shared" si="54"/>
        <v>21</v>
      </c>
      <c r="J148" s="45" t="str">
        <f t="shared" si="57"/>
        <v>SUM element</v>
      </c>
      <c r="L148" s="146"/>
      <c r="M148" s="260"/>
      <c r="N148" s="146"/>
      <c r="O148" s="252">
        <v>2179.6476038157821</v>
      </c>
      <c r="P148" s="263"/>
      <c r="Q148" s="252">
        <v>2353.2481915940389</v>
      </c>
      <c r="R148" s="252">
        <v>2179.6476038157821</v>
      </c>
      <c r="S148" s="252">
        <v>1989.5467905560581</v>
      </c>
      <c r="T148" s="252">
        <v>1784.4953534509582</v>
      </c>
      <c r="U148" s="252">
        <v>1886.6794156064407</v>
      </c>
      <c r="V148" s="252">
        <v>2073.9562465403569</v>
      </c>
      <c r="W148" s="294"/>
      <c r="X148" s="299">
        <f t="shared" si="59"/>
        <v>118.28061560373403</v>
      </c>
      <c r="Y148" s="299">
        <f t="shared" si="60"/>
        <v>109.55498077060015</v>
      </c>
      <c r="Z148" s="299">
        <f t="shared" si="61"/>
        <v>89.693560459174222</v>
      </c>
      <c r="AA148" s="299">
        <f t="shared" si="62"/>
        <v>94.829607655476806</v>
      </c>
      <c r="AB148" s="299">
        <f t="shared" si="63"/>
        <v>104.24264744036039</v>
      </c>
      <c r="AD148" s="125"/>
      <c r="AE148" s="125"/>
      <c r="AF148" s="125"/>
      <c r="AG148" s="125"/>
      <c r="AH148" s="125"/>
      <c r="AI148" s="125"/>
      <c r="AJ148" s="125"/>
      <c r="AK148" s="125"/>
      <c r="AL148" s="125"/>
      <c r="AM148" s="46"/>
      <c r="AN148" s="46"/>
      <c r="AO148" s="259"/>
    </row>
    <row r="149" spans="1:41" ht="12" customHeight="1" x14ac:dyDescent="0.25">
      <c r="A149" s="131" t="s">
        <v>4</v>
      </c>
      <c r="B149" s="131" t="s">
        <v>0</v>
      </c>
      <c r="C149" s="131" t="s">
        <v>2</v>
      </c>
      <c r="D149" s="131" t="s">
        <v>1</v>
      </c>
      <c r="E149" s="131" t="s">
        <v>0</v>
      </c>
      <c r="H149" s="116">
        <f t="shared" si="54"/>
        <v>22</v>
      </c>
      <c r="J149" s="190" t="str">
        <f t="shared" si="57"/>
        <v>Subvencije</v>
      </c>
      <c r="L149" s="146"/>
      <c r="M149" s="260"/>
      <c r="N149" s="146"/>
      <c r="O149" s="302">
        <v>23.94</v>
      </c>
      <c r="P149" s="303"/>
      <c r="Q149" s="302">
        <v>23.94</v>
      </c>
      <c r="R149" s="302">
        <v>23.94</v>
      </c>
      <c r="S149" s="302">
        <v>23.94</v>
      </c>
      <c r="T149" s="302">
        <v>23.94</v>
      </c>
      <c r="U149" s="302">
        <v>23.94</v>
      </c>
      <c r="V149" s="302">
        <v>23.94</v>
      </c>
      <c r="W149" s="294"/>
      <c r="X149" s="300">
        <f t="shared" si="59"/>
        <v>100</v>
      </c>
      <c r="Y149" s="300">
        <f t="shared" si="60"/>
        <v>100</v>
      </c>
      <c r="Z149" s="300">
        <f t="shared" si="61"/>
        <v>100</v>
      </c>
      <c r="AA149" s="300">
        <f t="shared" si="62"/>
        <v>100</v>
      </c>
      <c r="AB149" s="300">
        <f t="shared" si="63"/>
        <v>100</v>
      </c>
      <c r="AD149" s="125"/>
      <c r="AE149" s="125"/>
      <c r="AF149" s="125"/>
      <c r="AG149" s="125"/>
      <c r="AH149" s="125"/>
      <c r="AI149" s="125"/>
      <c r="AJ149" s="125"/>
      <c r="AK149" s="125"/>
      <c r="AL149" s="125"/>
      <c r="AM149" s="46"/>
      <c r="AN149" s="46"/>
      <c r="AO149" s="259"/>
    </row>
    <row r="150" spans="1:41" ht="12" customHeight="1" x14ac:dyDescent="0.25">
      <c r="A150" s="196" t="s">
        <v>29</v>
      </c>
      <c r="H150" s="116">
        <f t="shared" si="54"/>
        <v>23</v>
      </c>
      <c r="J150" s="291" t="str">
        <f>+J113</f>
        <v>Vrednost pridelave_tržna</v>
      </c>
      <c r="K150" s="46" t="s">
        <v>195</v>
      </c>
      <c r="L150" s="146"/>
      <c r="M150" s="260"/>
      <c r="N150" s="146"/>
      <c r="O150" s="302">
        <v>1322.9999999999998</v>
      </c>
      <c r="P150" s="303"/>
      <c r="Q150" s="302">
        <v>1511.9999999999998</v>
      </c>
      <c r="R150" s="302">
        <v>1322.9999999999998</v>
      </c>
      <c r="S150" s="302">
        <v>1133.9999999999998</v>
      </c>
      <c r="T150" s="302">
        <v>944.99999999999989</v>
      </c>
      <c r="U150" s="302">
        <v>1133.9999999999998</v>
      </c>
      <c r="V150" s="302">
        <v>1322.9999999999998</v>
      </c>
      <c r="W150" s="294"/>
      <c r="X150" s="299">
        <f t="shared" si="59"/>
        <v>133.33333333333334</v>
      </c>
      <c r="Y150" s="299">
        <f t="shared" si="60"/>
        <v>116.66666666666667</v>
      </c>
      <c r="Z150" s="299">
        <f t="shared" si="61"/>
        <v>83.333333333333343</v>
      </c>
      <c r="AA150" s="299">
        <f t="shared" si="62"/>
        <v>100</v>
      </c>
      <c r="AB150" s="299">
        <f t="shared" si="63"/>
        <v>116.66666666666667</v>
      </c>
      <c r="AD150" s="125"/>
      <c r="AE150" s="125"/>
      <c r="AF150" s="125"/>
      <c r="AG150" s="125"/>
      <c r="AH150" s="125"/>
      <c r="AI150" s="125"/>
      <c r="AJ150" s="125"/>
      <c r="AK150" s="125"/>
      <c r="AL150" s="125"/>
      <c r="AM150" s="46"/>
      <c r="AN150" s="46"/>
      <c r="AO150" s="259"/>
    </row>
    <row r="151" spans="1:41" s="72" customFormat="1" ht="12" customHeight="1" x14ac:dyDescent="0.25">
      <c r="A151" s="131"/>
      <c r="B151" s="131"/>
      <c r="C151" s="131"/>
      <c r="D151" s="131"/>
      <c r="E151" s="131"/>
      <c r="F151" s="46"/>
      <c r="G151" s="133"/>
      <c r="H151" s="116">
        <f t="shared" si="54"/>
        <v>24</v>
      </c>
      <c r="I151" s="46"/>
      <c r="J151" s="72">
        <f t="shared" si="57"/>
        <v>0</v>
      </c>
      <c r="K151" s="128"/>
      <c r="L151" s="278"/>
      <c r="M151" s="279"/>
      <c r="N151" s="272"/>
      <c r="O151" s="280">
        <f>+O136-O149-O137</f>
        <v>2155.7076038157816</v>
      </c>
      <c r="P151" s="146" t="s">
        <v>108</v>
      </c>
      <c r="Q151" s="280">
        <f>+Q136-Q149-Q137</f>
        <v>2329.3081915940388</v>
      </c>
      <c r="R151" s="280">
        <f t="shared" ref="R151:V151" si="68">+R136-R149-R137</f>
        <v>2155.7076038157816</v>
      </c>
      <c r="S151" s="280">
        <f t="shared" si="68"/>
        <v>1965.6067905560581</v>
      </c>
      <c r="T151" s="280">
        <f t="shared" si="68"/>
        <v>1760.5553534509581</v>
      </c>
      <c r="U151" s="280">
        <f t="shared" si="68"/>
        <v>1862.7394156064404</v>
      </c>
      <c r="V151" s="280">
        <f t="shared" si="68"/>
        <v>2050.0162465403564</v>
      </c>
      <c r="W151" s="304"/>
      <c r="X151" s="272"/>
      <c r="Y151" s="272"/>
      <c r="Z151" s="272"/>
      <c r="AA151" s="278"/>
      <c r="AB151" s="278"/>
      <c r="AD151" s="125"/>
      <c r="AE151" s="125"/>
      <c r="AF151" s="125"/>
      <c r="AG151" s="125"/>
      <c r="AH151" s="125"/>
      <c r="AI151" s="125"/>
      <c r="AJ151" s="125"/>
      <c r="AK151" s="125"/>
      <c r="AL151" s="125"/>
      <c r="AM151" s="46"/>
      <c r="AN151" s="46"/>
      <c r="AO151" s="259"/>
    </row>
    <row r="152" spans="1:41" s="72" customFormat="1" ht="12" customHeight="1" x14ac:dyDescent="0.25">
      <c r="A152" s="131"/>
      <c r="B152" s="131"/>
      <c r="C152" s="131"/>
      <c r="D152" s="131"/>
      <c r="E152" s="131"/>
      <c r="F152" s="46"/>
      <c r="G152" s="128"/>
      <c r="H152" s="116">
        <f t="shared" si="54"/>
        <v>25</v>
      </c>
      <c r="I152" s="46"/>
      <c r="K152" s="128"/>
      <c r="L152" s="278"/>
      <c r="M152" s="279"/>
      <c r="N152" s="272"/>
      <c r="O152" s="280">
        <f>O151-O143-O144</f>
        <v>2126.7716842373634</v>
      </c>
      <c r="P152" s="146" t="s">
        <v>107</v>
      </c>
      <c r="Q152" s="280">
        <f>Q151-Q143-Q144</f>
        <v>2300.1733681766523</v>
      </c>
      <c r="R152" s="280">
        <f t="shared" ref="R152:V152" si="69">R151-R143-R144</f>
        <v>2126.7716842373634</v>
      </c>
      <c r="S152" s="280">
        <f t="shared" si="69"/>
        <v>1938.0287813501641</v>
      </c>
      <c r="T152" s="280">
        <f t="shared" si="69"/>
        <v>1734.8150985275904</v>
      </c>
      <c r="U152" s="280">
        <f t="shared" si="69"/>
        <v>1840.5610039491485</v>
      </c>
      <c r="V152" s="280">
        <f t="shared" si="69"/>
        <v>2026.6626294230107</v>
      </c>
      <c r="W152" s="304"/>
      <c r="X152" s="272"/>
      <c r="Y152" s="272"/>
      <c r="Z152" s="272"/>
      <c r="AA152" s="278"/>
      <c r="AB152" s="278"/>
      <c r="AD152" s="124"/>
      <c r="AE152" s="124"/>
      <c r="AF152" s="124"/>
      <c r="AG152" s="124"/>
      <c r="AH152" s="124"/>
      <c r="AI152" s="124"/>
      <c r="AJ152" s="124"/>
      <c r="AK152" s="124"/>
      <c r="AL152" s="124"/>
      <c r="AM152" s="46"/>
      <c r="AN152" s="46"/>
      <c r="AO152" s="259"/>
    </row>
    <row r="153" spans="1:41" s="45" customFormat="1" ht="12" customHeight="1" x14ac:dyDescent="0.25">
      <c r="A153" s="131"/>
      <c r="B153" s="131"/>
      <c r="C153" s="131"/>
      <c r="D153" s="131"/>
      <c r="E153" s="131"/>
      <c r="F153" s="46"/>
      <c r="H153" s="116">
        <f t="shared" si="54"/>
        <v>26</v>
      </c>
      <c r="I153" s="46"/>
      <c r="K153" s="46"/>
      <c r="L153" s="257"/>
      <c r="M153" s="258"/>
      <c r="N153" s="272"/>
      <c r="O153" s="280">
        <f>O152-O145-O146-O147</f>
        <v>2051.9851517907605</v>
      </c>
      <c r="P153" s="146" t="s">
        <v>106</v>
      </c>
      <c r="Q153" s="280">
        <f>Q152-Q145-Q146-Q147</f>
        <v>2224.8727574279437</v>
      </c>
      <c r="R153" s="280">
        <f t="shared" ref="R153:V153" si="70">R152-R145-R146-R147</f>
        <v>2051.9851517907605</v>
      </c>
      <c r="S153" s="280">
        <f t="shared" si="70"/>
        <v>1866.7518456129087</v>
      </c>
      <c r="T153" s="280">
        <f t="shared" si="70"/>
        <v>1668.2879434187537</v>
      </c>
      <c r="U153" s="280">
        <f t="shared" si="70"/>
        <v>1783.2396356571494</v>
      </c>
      <c r="V153" s="280">
        <f t="shared" si="70"/>
        <v>1966.3038756754863</v>
      </c>
      <c r="W153" s="304"/>
      <c r="X153" s="257"/>
      <c r="Y153" s="257"/>
      <c r="Z153" s="257"/>
      <c r="AA153" s="257"/>
      <c r="AB153" s="257"/>
      <c r="AD153" s="125"/>
      <c r="AE153" s="125"/>
      <c r="AF153" s="125"/>
      <c r="AG153" s="125"/>
      <c r="AH153" s="125"/>
      <c r="AI153" s="125"/>
      <c r="AJ153" s="125"/>
      <c r="AK153" s="125"/>
      <c r="AL153" s="125"/>
      <c r="AM153" s="46"/>
      <c r="AN153" s="46"/>
      <c r="AO153" s="259"/>
    </row>
    <row r="154" spans="1:41" ht="12" customHeight="1" x14ac:dyDescent="0.25">
      <c r="H154" s="116">
        <f t="shared" si="54"/>
        <v>27</v>
      </c>
      <c r="L154" s="146"/>
      <c r="M154" s="260"/>
      <c r="N154" s="146"/>
      <c r="O154" s="282"/>
      <c r="P154" s="277"/>
      <c r="Q154" s="282"/>
      <c r="R154" s="282"/>
      <c r="S154" s="282"/>
      <c r="T154" s="282"/>
      <c r="U154" s="282"/>
      <c r="V154" s="282"/>
      <c r="W154" s="114"/>
      <c r="X154" s="146"/>
      <c r="Y154" s="146"/>
      <c r="Z154" s="146"/>
      <c r="AA154" s="146"/>
      <c r="AB154" s="146"/>
      <c r="AD154" s="125"/>
      <c r="AE154" s="125"/>
      <c r="AF154" s="125"/>
      <c r="AG154" s="125"/>
      <c r="AH154" s="125"/>
      <c r="AI154" s="125"/>
      <c r="AJ154" s="125"/>
      <c r="AK154" s="125"/>
      <c r="AL154" s="125"/>
      <c r="AM154" s="46"/>
      <c r="AN154" s="46"/>
      <c r="AO154" s="259"/>
    </row>
    <row r="155" spans="1:41" ht="12" customHeight="1" x14ac:dyDescent="0.25">
      <c r="H155" s="116">
        <f t="shared" si="54"/>
        <v>28</v>
      </c>
      <c r="J155" s="45"/>
      <c r="L155" s="146"/>
      <c r="M155" s="260"/>
      <c r="N155" s="146"/>
      <c r="O155" s="285" t="str">
        <f>+O132&amp;";"&amp;O134</f>
        <v>3500;1</v>
      </c>
      <c r="P155" s="305"/>
      <c r="Q155" s="285" t="str">
        <f>+Q132&amp;";"&amp;Q134</f>
        <v>4000;1</v>
      </c>
      <c r="R155" s="285" t="str">
        <f t="shared" ref="R155:V155" si="71">+R132&amp;";"&amp;R134</f>
        <v>3500;1</v>
      </c>
      <c r="S155" s="285" t="str">
        <f t="shared" si="71"/>
        <v>3000;1</v>
      </c>
      <c r="T155" s="285" t="str">
        <f t="shared" si="71"/>
        <v>2500;1</v>
      </c>
      <c r="U155" s="285" t="str">
        <f t="shared" si="71"/>
        <v>3000;5</v>
      </c>
      <c r="V155" s="285" t="str">
        <f t="shared" si="71"/>
        <v>3500;5</v>
      </c>
      <c r="W155" s="114"/>
      <c r="X155" s="146"/>
      <c r="Y155" s="146"/>
      <c r="Z155" s="146"/>
      <c r="AA155" s="146"/>
      <c r="AB155" s="146"/>
      <c r="AD155" s="125"/>
      <c r="AE155" s="125"/>
      <c r="AF155" s="125"/>
      <c r="AG155" s="125"/>
      <c r="AH155" s="125"/>
      <c r="AI155" s="125"/>
      <c r="AJ155" s="125"/>
      <c r="AK155" s="125"/>
      <c r="AL155" s="125"/>
      <c r="AM155" s="46"/>
      <c r="AN155" s="46"/>
      <c r="AO155" s="259"/>
    </row>
    <row r="156" spans="1:41" ht="12" customHeight="1" x14ac:dyDescent="0.25">
      <c r="H156" s="116">
        <f t="shared" si="54"/>
        <v>29</v>
      </c>
      <c r="L156" s="146"/>
      <c r="M156" s="260"/>
      <c r="N156" s="146"/>
      <c r="O156" s="287">
        <f>+O151/O132*1000</f>
        <v>615.91645823308045</v>
      </c>
      <c r="P156" s="273" t="s">
        <v>105</v>
      </c>
      <c r="Q156" s="287">
        <f>+Q151/Q132*1000</f>
        <v>582.3270478985097</v>
      </c>
      <c r="R156" s="287">
        <f t="shared" ref="R156:V156" si="72">+R151/R132*1000</f>
        <v>615.91645823308045</v>
      </c>
      <c r="S156" s="287">
        <f t="shared" si="72"/>
        <v>655.2022635186861</v>
      </c>
      <c r="T156" s="287">
        <f t="shared" si="72"/>
        <v>704.22214138038328</v>
      </c>
      <c r="U156" s="287">
        <f t="shared" si="72"/>
        <v>620.91313853548013</v>
      </c>
      <c r="V156" s="287">
        <f t="shared" si="72"/>
        <v>585.71892758295894</v>
      </c>
      <c r="W156" s="114"/>
      <c r="X156" s="146"/>
      <c r="Y156" s="146"/>
      <c r="Z156" s="146"/>
      <c r="AA156" s="146"/>
      <c r="AB156" s="146"/>
      <c r="AD156" s="125"/>
      <c r="AE156" s="125"/>
      <c r="AF156" s="125"/>
      <c r="AG156" s="125"/>
      <c r="AH156" s="125"/>
      <c r="AI156" s="125"/>
      <c r="AJ156" s="125"/>
      <c r="AK156" s="125"/>
      <c r="AL156" s="125"/>
      <c r="AM156" s="46"/>
      <c r="AN156" s="46"/>
      <c r="AO156" s="259"/>
    </row>
    <row r="157" spans="1:41" ht="12" customHeight="1" x14ac:dyDescent="0.25">
      <c r="H157" s="116">
        <f t="shared" si="54"/>
        <v>30</v>
      </c>
      <c r="L157" s="146"/>
      <c r="M157" s="260"/>
      <c r="N157" s="146"/>
      <c r="O157" s="287">
        <f>+O156*O152/O151</f>
        <v>607.64905263924663</v>
      </c>
      <c r="P157" s="273" t="s">
        <v>104</v>
      </c>
      <c r="Q157" s="287">
        <f>+Q156*Q152/Q151</f>
        <v>575.04334204416307</v>
      </c>
      <c r="R157" s="287">
        <f t="shared" ref="R157:V157" si="73">+R156*R152/R151</f>
        <v>607.64905263924663</v>
      </c>
      <c r="S157" s="287">
        <f t="shared" si="73"/>
        <v>646.00959378338814</v>
      </c>
      <c r="T157" s="287">
        <f t="shared" si="73"/>
        <v>693.92603941103619</v>
      </c>
      <c r="U157" s="287">
        <f t="shared" si="73"/>
        <v>613.52033464971623</v>
      </c>
      <c r="V157" s="287">
        <f t="shared" si="73"/>
        <v>579.04646554943156</v>
      </c>
      <c r="W157" s="114"/>
      <c r="X157" s="146"/>
      <c r="Y157" s="146"/>
      <c r="Z157" s="146"/>
      <c r="AA157" s="146"/>
      <c r="AB157" s="146"/>
      <c r="AD157" s="125"/>
      <c r="AE157" s="125"/>
      <c r="AF157" s="125"/>
      <c r="AG157" s="125"/>
      <c r="AH157" s="125"/>
      <c r="AI157" s="125"/>
      <c r="AJ157" s="125"/>
      <c r="AK157" s="125"/>
      <c r="AL157" s="125"/>
      <c r="AM157" s="46"/>
      <c r="AN157" s="46"/>
      <c r="AO157" s="259"/>
    </row>
    <row r="158" spans="1:41" ht="12" customHeight="1" x14ac:dyDescent="0.25">
      <c r="H158" s="116">
        <f t="shared" si="54"/>
        <v>31</v>
      </c>
      <c r="L158" s="146"/>
      <c r="M158" s="260"/>
      <c r="N158" s="146"/>
      <c r="O158" s="287">
        <f>+O156*O153/O151</f>
        <v>586.28147194021722</v>
      </c>
      <c r="P158" s="273" t="s">
        <v>103</v>
      </c>
      <c r="Q158" s="287">
        <f>+Q156*Q153/Q151</f>
        <v>556.21818935698593</v>
      </c>
      <c r="R158" s="287">
        <f t="shared" ref="R158:V158" si="74">+R156*R153/R151</f>
        <v>586.28147194021722</v>
      </c>
      <c r="S158" s="287">
        <f t="shared" si="74"/>
        <v>622.25061520430302</v>
      </c>
      <c r="T158" s="287">
        <f t="shared" si="74"/>
        <v>667.31517736750141</v>
      </c>
      <c r="U158" s="287">
        <f t="shared" si="74"/>
        <v>594.41321188571646</v>
      </c>
      <c r="V158" s="287">
        <f t="shared" si="74"/>
        <v>561.8011073358532</v>
      </c>
      <c r="W158" s="114"/>
      <c r="X158" s="146"/>
      <c r="Y158" s="146"/>
      <c r="Z158" s="146"/>
      <c r="AA158" s="146"/>
      <c r="AB158" s="146"/>
      <c r="AD158" s="125"/>
      <c r="AE158" s="125"/>
      <c r="AF158" s="125"/>
      <c r="AG158" s="125"/>
      <c r="AH158" s="125"/>
      <c r="AI158" s="125"/>
      <c r="AJ158" s="125"/>
      <c r="AK158" s="125"/>
      <c r="AL158" s="125"/>
      <c r="AM158" s="46"/>
      <c r="AN158" s="46"/>
      <c r="AO158" s="259"/>
    </row>
    <row r="159" spans="1:41" ht="12" customHeight="1" x14ac:dyDescent="0.25">
      <c r="H159" s="116">
        <f t="shared" si="54"/>
        <v>32</v>
      </c>
      <c r="L159" s="146"/>
      <c r="M159" s="260"/>
      <c r="N159" s="146"/>
      <c r="O159" s="287">
        <f>+O156-O158</f>
        <v>29.634986292863232</v>
      </c>
      <c r="P159" s="273" t="s">
        <v>102</v>
      </c>
      <c r="Q159" s="287">
        <f>+Q156-Q158</f>
        <v>26.108858541523773</v>
      </c>
      <c r="R159" s="287">
        <f t="shared" ref="R159:V159" si="75">+R156-R158</f>
        <v>29.634986292863232</v>
      </c>
      <c r="S159" s="287">
        <f t="shared" si="75"/>
        <v>32.951648314383078</v>
      </c>
      <c r="T159" s="287">
        <f t="shared" si="75"/>
        <v>36.906964012881872</v>
      </c>
      <c r="U159" s="287">
        <f t="shared" si="75"/>
        <v>26.499926649763665</v>
      </c>
      <c r="V159" s="287">
        <f t="shared" si="75"/>
        <v>23.917820247105738</v>
      </c>
      <c r="W159" s="114"/>
      <c r="X159" s="146"/>
      <c r="Y159" s="146"/>
      <c r="Z159" s="146"/>
      <c r="AA159" s="146"/>
      <c r="AB159" s="146"/>
      <c r="AD159" s="124"/>
      <c r="AE159" s="124"/>
      <c r="AF159" s="124"/>
      <c r="AG159" s="124"/>
      <c r="AH159" s="124"/>
      <c r="AI159" s="124"/>
      <c r="AJ159" s="124"/>
      <c r="AK159" s="124"/>
      <c r="AL159" s="124"/>
      <c r="AM159" s="46"/>
      <c r="AN159" s="46"/>
      <c r="AO159" s="259"/>
    </row>
    <row r="160" spans="1:41" s="45" customFormat="1" ht="12" customHeight="1" x14ac:dyDescent="0.25">
      <c r="A160" s="131"/>
      <c r="B160" s="131"/>
      <c r="C160" s="131"/>
      <c r="D160" s="131"/>
      <c r="E160" s="131"/>
      <c r="F160" s="46"/>
      <c r="H160" s="116">
        <f t="shared" si="54"/>
        <v>33</v>
      </c>
      <c r="I160" s="46"/>
      <c r="W160" s="294"/>
      <c r="X160" s="257"/>
      <c r="Y160" s="257"/>
      <c r="Z160" s="257"/>
      <c r="AA160" s="257"/>
      <c r="AB160" s="257"/>
      <c r="AD160" s="125"/>
      <c r="AE160" s="125"/>
      <c r="AF160" s="125"/>
      <c r="AG160" s="125"/>
      <c r="AH160" s="125"/>
      <c r="AI160" s="125"/>
      <c r="AJ160" s="125"/>
      <c r="AK160" s="125"/>
      <c r="AL160" s="125"/>
      <c r="AM160" s="46"/>
      <c r="AN160" s="46"/>
      <c r="AO160" s="259"/>
    </row>
    <row r="161" spans="1:41" ht="12" customHeight="1" x14ac:dyDescent="0.25">
      <c r="A161" s="131" t="s">
        <v>30</v>
      </c>
      <c r="F161" s="121">
        <v>1000</v>
      </c>
      <c r="H161" s="116">
        <f t="shared" si="54"/>
        <v>34</v>
      </c>
      <c r="J161" s="289" t="s">
        <v>101</v>
      </c>
      <c r="L161" s="146"/>
      <c r="M161" s="260"/>
      <c r="N161" s="306"/>
      <c r="O161" s="290">
        <v>377.99999999999994</v>
      </c>
      <c r="P161" s="289" t="str">
        <f>J161</f>
        <v>Odkupna cena; vir podatkov SURS; preračuni KIS</v>
      </c>
      <c r="Q161" s="290">
        <v>377.99999999999994</v>
      </c>
      <c r="R161" s="290">
        <v>377.99999999999994</v>
      </c>
      <c r="S161" s="290">
        <v>377.99999999999994</v>
      </c>
      <c r="T161" s="290">
        <v>377.99999999999994</v>
      </c>
      <c r="U161" s="290">
        <v>377.99999999999994</v>
      </c>
      <c r="V161" s="290">
        <v>377.99999999999994</v>
      </c>
      <c r="W161" s="114"/>
      <c r="X161" s="146"/>
      <c r="Y161" s="146"/>
      <c r="Z161" s="146"/>
      <c r="AA161" s="146"/>
      <c r="AB161" s="146"/>
      <c r="AD161" s="124"/>
      <c r="AE161" s="124"/>
      <c r="AF161" s="124"/>
      <c r="AG161" s="124"/>
      <c r="AH161" s="124"/>
      <c r="AI161" s="124"/>
      <c r="AJ161" s="124"/>
      <c r="AK161" s="124"/>
      <c r="AL161" s="124"/>
      <c r="AM161" s="46"/>
      <c r="AN161" s="46"/>
      <c r="AO161" s="259"/>
    </row>
    <row r="162" spans="1:41" s="45" customFormat="1" ht="12" customHeight="1" x14ac:dyDescent="0.25">
      <c r="A162" s="131"/>
      <c r="B162" s="131"/>
      <c r="C162" s="131"/>
      <c r="D162" s="131"/>
      <c r="E162" s="131"/>
      <c r="F162" s="46"/>
      <c r="H162" s="116">
        <f t="shared" si="54"/>
        <v>35</v>
      </c>
      <c r="I162" s="46"/>
      <c r="J162" s="291" t="str">
        <f>+J125</f>
        <v>Bruto dodana vrednost</v>
      </c>
      <c r="K162" s="46"/>
      <c r="L162" s="257"/>
      <c r="M162" s="258"/>
      <c r="N162" s="257"/>
      <c r="O162" s="292">
        <f>O150+O149+O137-O135</f>
        <v>-395.25763272019481</v>
      </c>
      <c r="P162" s="288">
        <f t="shared" ref="P162" si="76">P150+P149-P135</f>
        <v>0</v>
      </c>
      <c r="Q162" s="292">
        <f t="shared" ref="Q162:V162" si="77">Q150+Q149+Q137-Q135</f>
        <v>-376.11860799462761</v>
      </c>
      <c r="R162" s="292">
        <f t="shared" si="77"/>
        <v>-395.25763272019481</v>
      </c>
      <c r="S162" s="292">
        <f t="shared" si="77"/>
        <v>-410.96432763127905</v>
      </c>
      <c r="T162" s="292">
        <f t="shared" si="77"/>
        <v>-418.23461162611136</v>
      </c>
      <c r="U162" s="292">
        <f t="shared" si="77"/>
        <v>-380.03639942170071</v>
      </c>
      <c r="V162" s="292">
        <f t="shared" si="77"/>
        <v>-363.56553802401118</v>
      </c>
      <c r="W162" s="294"/>
      <c r="X162" s="257"/>
      <c r="Y162" s="257"/>
      <c r="Z162" s="257"/>
      <c r="AA162" s="257"/>
      <c r="AB162" s="257"/>
      <c r="AD162" s="125"/>
      <c r="AE162" s="125"/>
      <c r="AF162" s="339" t="s">
        <v>178</v>
      </c>
      <c r="AG162" s="340"/>
      <c r="AH162" s="340"/>
      <c r="AI162" s="340"/>
      <c r="AJ162" s="340"/>
      <c r="AK162" s="340"/>
      <c r="AL162" s="340"/>
      <c r="AM162" s="340"/>
      <c r="AN162" s="340"/>
      <c r="AO162" s="259"/>
    </row>
    <row r="163" spans="1:41" ht="12" customHeight="1" x14ac:dyDescent="0.25">
      <c r="A163" s="196" t="s">
        <v>26</v>
      </c>
      <c r="H163" s="116">
        <f t="shared" si="54"/>
        <v>36</v>
      </c>
      <c r="J163" s="275" t="s">
        <v>26</v>
      </c>
      <c r="K163" s="128"/>
      <c r="L163" s="146"/>
      <c r="M163" s="260"/>
      <c r="N163" s="146"/>
      <c r="O163" s="252">
        <v>135.44005748052263</v>
      </c>
      <c r="P163" s="125"/>
      <c r="Q163" s="252">
        <v>137.40791402097761</v>
      </c>
      <c r="R163" s="252">
        <v>135.44005748052263</v>
      </c>
      <c r="S163" s="252">
        <v>129.71464177242817</v>
      </c>
      <c r="T163" s="252">
        <v>121.70014401213658</v>
      </c>
      <c r="U163" s="252">
        <v>103.79745951391305</v>
      </c>
      <c r="V163" s="252">
        <v>108.93053643965412</v>
      </c>
      <c r="W163" s="114"/>
      <c r="X163" s="146"/>
      <c r="Y163" s="146"/>
      <c r="Z163" s="146"/>
      <c r="AA163" s="146"/>
      <c r="AB163" s="146"/>
      <c r="AD163" s="125"/>
      <c r="AE163" s="125"/>
      <c r="AF163" s="192" t="str">
        <f>"letina "&amp;M128</f>
        <v xml:space="preserve">letina </v>
      </c>
      <c r="AG163" s="46"/>
      <c r="AH163" s="46"/>
      <c r="AI163" s="46"/>
      <c r="AJ163" s="46"/>
      <c r="AK163" s="46"/>
      <c r="AL163" s="46"/>
      <c r="AM163" s="46"/>
      <c r="AN163" s="46"/>
      <c r="AO163" s="259"/>
    </row>
    <row r="164" spans="1:41" ht="12" customHeight="1" x14ac:dyDescent="0.25">
      <c r="G164" s="146"/>
      <c r="H164" s="116">
        <f t="shared" si="54"/>
        <v>37</v>
      </c>
      <c r="J164" s="46" t="s">
        <v>190</v>
      </c>
      <c r="K164" s="128"/>
      <c r="L164" s="146"/>
      <c r="M164" s="260"/>
      <c r="N164" s="146"/>
      <c r="O164" s="313">
        <f>+O162-O163</f>
        <v>-530.69769020071749</v>
      </c>
      <c r="P164" s="260"/>
      <c r="Q164" s="313">
        <f>+Q162-Q163</f>
        <v>-513.52652201560522</v>
      </c>
      <c r="R164" s="313">
        <f t="shared" ref="R164:V164" si="78">+R162-R163</f>
        <v>-530.69769020071749</v>
      </c>
      <c r="S164" s="313">
        <f t="shared" si="78"/>
        <v>-540.67896940370724</v>
      </c>
      <c r="T164" s="313">
        <f t="shared" si="78"/>
        <v>-539.93475563824791</v>
      </c>
      <c r="U164" s="313">
        <f t="shared" si="78"/>
        <v>-483.83385893561376</v>
      </c>
      <c r="V164" s="313">
        <f t="shared" si="78"/>
        <v>-472.49607446366531</v>
      </c>
      <c r="W164" s="114"/>
      <c r="X164" s="146"/>
      <c r="Y164" s="146"/>
      <c r="Z164" s="146"/>
      <c r="AA164" s="146"/>
      <c r="AB164" s="146"/>
      <c r="AD164" s="259"/>
      <c r="AE164" s="259"/>
      <c r="AF164" s="259"/>
      <c r="AG164" s="259"/>
      <c r="AH164" s="259"/>
      <c r="AI164" s="259"/>
      <c r="AJ164" s="259"/>
      <c r="AK164" s="259"/>
      <c r="AL164" s="259"/>
      <c r="AM164" s="259"/>
      <c r="AN164" s="259"/>
      <c r="AO164" s="259"/>
    </row>
    <row r="165" spans="1:41" ht="12" customHeight="1" x14ac:dyDescent="0.25">
      <c r="A165" s="213"/>
      <c r="B165" s="213"/>
      <c r="C165" s="213"/>
      <c r="D165" s="213"/>
      <c r="E165" s="213"/>
      <c r="F165" s="145"/>
      <c r="G165" s="145"/>
      <c r="H165" s="145">
        <f>1</f>
        <v>1</v>
      </c>
      <c r="I165" s="145" t="e">
        <f>+J167</f>
        <v>#REF!</v>
      </c>
      <c r="J165" s="144" t="s">
        <v>148</v>
      </c>
      <c r="K165" s="145"/>
      <c r="L165" s="145"/>
      <c r="M165" s="145"/>
      <c r="N165" s="145"/>
      <c r="O165" s="238" t="e">
        <f>O173-O185+O178-'2023'!E141</f>
        <v>#REF!</v>
      </c>
      <c r="P165" s="145"/>
      <c r="Q165" s="238">
        <f>Q173-Q185+Q178-'2023'!H141</f>
        <v>1.4903333333788044E-2</v>
      </c>
      <c r="R165" s="238">
        <f>R173-R185+R178-'2023'!I141</f>
        <v>1.625818181863653E-2</v>
      </c>
      <c r="S165" s="238">
        <f>S173-S185+S178-'2023'!J141</f>
        <v>1.7883999999999955E-2</v>
      </c>
      <c r="T165" s="238">
        <f>T173-T185+T178-'2023'!K141</f>
        <v>1.9871111111111062E-2</v>
      </c>
      <c r="U165" s="238">
        <f>U173-U185+U178-'2023'!L141</f>
        <v>2.2355000000000014E-2</v>
      </c>
      <c r="V165" s="238">
        <f>V173-V185+V178-'2023'!M141</f>
        <v>1.7884000000454731E-2</v>
      </c>
      <c r="W165" s="145"/>
      <c r="X165" s="145"/>
      <c r="Y165" s="145"/>
      <c r="Z165" s="145"/>
      <c r="AA165" s="145"/>
      <c r="AB165" s="145"/>
      <c r="AC165" s="145"/>
      <c r="AD165" s="239"/>
      <c r="AE165" s="240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</row>
    <row r="166" spans="1:41" s="120" customFormat="1" ht="11.25" customHeight="1" x14ac:dyDescent="0.25">
      <c r="A166" s="131"/>
      <c r="B166" s="131"/>
      <c r="C166" s="131"/>
      <c r="D166" s="131"/>
      <c r="E166" s="131"/>
      <c r="F166" s="46"/>
      <c r="G166" s="112"/>
      <c r="H166" s="116">
        <f>H165+1</f>
        <v>2</v>
      </c>
      <c r="I166" s="120" t="e">
        <f>+I165</f>
        <v>#REF!</v>
      </c>
      <c r="J166" s="118" t="s">
        <v>149</v>
      </c>
      <c r="K166" s="119"/>
      <c r="L166" s="119"/>
      <c r="M166" s="241"/>
      <c r="N166" s="119"/>
      <c r="O166" s="297" t="e">
        <f>#REF!</f>
        <v>#REF!</v>
      </c>
      <c r="P166" s="297"/>
      <c r="Q166" s="242" t="s">
        <v>152</v>
      </c>
      <c r="R166" s="242" t="s">
        <v>153</v>
      </c>
      <c r="S166" s="242" t="s">
        <v>151</v>
      </c>
      <c r="T166" s="242" t="s">
        <v>154</v>
      </c>
      <c r="U166" s="242" t="s">
        <v>197</v>
      </c>
      <c r="V166" s="119" t="s">
        <v>198</v>
      </c>
      <c r="W166" s="119"/>
      <c r="X166" s="119"/>
      <c r="Y166" s="119"/>
      <c r="Z166" s="119"/>
      <c r="AA166" s="119"/>
      <c r="AB166" s="119"/>
      <c r="AD166" s="259"/>
      <c r="AE166" s="259"/>
      <c r="AF166" s="259"/>
      <c r="AG166" s="259"/>
      <c r="AH166" s="259"/>
      <c r="AI166" s="259"/>
      <c r="AJ166" s="259"/>
      <c r="AK166" s="259"/>
      <c r="AL166" s="259"/>
      <c r="AM166" s="259"/>
      <c r="AN166" s="259"/>
      <c r="AO166" s="259"/>
    </row>
    <row r="167" spans="1:41" s="120" customFormat="1" ht="11.25" customHeight="1" x14ac:dyDescent="0.25">
      <c r="A167" s="131"/>
      <c r="B167" s="131"/>
      <c r="C167" s="131"/>
      <c r="D167" s="131"/>
      <c r="E167" s="131"/>
      <c r="F167" s="114" t="e">
        <f>+#REF!</f>
        <v>#REF!</v>
      </c>
      <c r="G167" s="112"/>
      <c r="H167" s="116">
        <f t="shared" ref="H167:H201" si="79">H166+1</f>
        <v>3</v>
      </c>
      <c r="I167" s="120" t="e">
        <f>+I166</f>
        <v>#REF!</v>
      </c>
      <c r="J167" s="122" t="e">
        <v>#REF!</v>
      </c>
      <c r="K167" s="46" t="str">
        <f>+K$56</f>
        <v>Enota</v>
      </c>
      <c r="L167" s="186"/>
      <c r="M167" s="243"/>
      <c r="N167" s="237"/>
      <c r="O167" s="191"/>
      <c r="P167" s="191"/>
      <c r="Q167" s="46"/>
      <c r="R167" s="46"/>
      <c r="S167" s="191">
        <f>+$S$56</f>
        <v>2023</v>
      </c>
      <c r="T167" s="46"/>
      <c r="U167" s="191"/>
      <c r="AD167" s="259"/>
      <c r="AE167" s="259"/>
      <c r="AF167" s="259"/>
      <c r="AG167" s="259"/>
      <c r="AH167" s="259"/>
      <c r="AI167" s="259"/>
      <c r="AJ167" s="259"/>
      <c r="AK167" s="259"/>
      <c r="AL167" s="259"/>
      <c r="AM167" s="259"/>
      <c r="AN167" s="259"/>
      <c r="AO167" s="259"/>
    </row>
    <row r="168" spans="1:41" s="120" customFormat="1" ht="11.25" customHeight="1" x14ac:dyDescent="0.25">
      <c r="A168" s="131"/>
      <c r="B168" s="131"/>
      <c r="C168" s="131"/>
      <c r="D168" s="131"/>
      <c r="E168" s="131"/>
      <c r="F168" s="46"/>
      <c r="G168" s="112"/>
      <c r="H168" s="116">
        <f t="shared" si="79"/>
        <v>4</v>
      </c>
      <c r="I168" s="120" t="e">
        <f>+I167</f>
        <v>#REF!</v>
      </c>
      <c r="J168" s="45" t="s">
        <v>84</v>
      </c>
      <c r="K168" s="46"/>
      <c r="L168" s="186"/>
      <c r="M168" s="243"/>
      <c r="N168" s="237"/>
      <c r="O168" s="191"/>
      <c r="P168" s="191"/>
      <c r="Q168" s="186" t="s">
        <v>83</v>
      </c>
      <c r="R168" s="186" t="s">
        <v>82</v>
      </c>
      <c r="S168" s="186" t="s">
        <v>81</v>
      </c>
      <c r="T168" s="186" t="s">
        <v>80</v>
      </c>
      <c r="U168" s="186" t="s">
        <v>79</v>
      </c>
      <c r="V168" s="186" t="s">
        <v>78</v>
      </c>
      <c r="W168" s="186"/>
      <c r="X168" s="237" t="s">
        <v>218</v>
      </c>
      <c r="Y168" s="186"/>
      <c r="Z168" s="186"/>
      <c r="AA168" s="186"/>
      <c r="AB168" s="186"/>
      <c r="AD168" s="259"/>
      <c r="AE168" s="259"/>
      <c r="AF168" s="259"/>
      <c r="AG168" s="259"/>
      <c r="AH168" s="259"/>
      <c r="AI168" s="259"/>
      <c r="AJ168" s="259"/>
      <c r="AK168" s="259"/>
      <c r="AL168" s="259"/>
      <c r="AM168" s="259"/>
      <c r="AN168" s="259"/>
      <c r="AO168" s="259"/>
    </row>
    <row r="169" spans="1:41" s="120" customFormat="1" ht="11.25" customHeight="1" x14ac:dyDescent="0.25">
      <c r="A169" s="131" t="s">
        <v>22</v>
      </c>
      <c r="B169" s="131"/>
      <c r="C169" s="131"/>
      <c r="D169" s="131"/>
      <c r="E169" s="131"/>
      <c r="F169" s="46"/>
      <c r="G169" s="112"/>
      <c r="H169" s="116">
        <f t="shared" si="79"/>
        <v>5</v>
      </c>
      <c r="I169" s="120" t="e">
        <f>+I168</f>
        <v>#REF!</v>
      </c>
      <c r="J169" s="45" t="s">
        <v>21</v>
      </c>
      <c r="K169" s="46" t="s">
        <v>20</v>
      </c>
      <c r="L169" s="245"/>
      <c r="M169" s="298"/>
      <c r="N169" s="247"/>
      <c r="O169" s="252" t="e">
        <v>#REF!</v>
      </c>
      <c r="P169" s="46"/>
      <c r="Q169" s="252">
        <v>12000</v>
      </c>
      <c r="R169" s="252">
        <v>11000</v>
      </c>
      <c r="S169" s="252">
        <v>10000</v>
      </c>
      <c r="T169" s="252">
        <v>9000</v>
      </c>
      <c r="U169" s="252">
        <v>8000</v>
      </c>
      <c r="V169" s="252">
        <v>10000</v>
      </c>
      <c r="W169" s="186"/>
      <c r="X169" s="186" t="s">
        <v>83</v>
      </c>
      <c r="Y169" s="186" t="s">
        <v>81</v>
      </c>
      <c r="Z169" s="186" t="s">
        <v>80</v>
      </c>
      <c r="AA169" s="186" t="s">
        <v>97</v>
      </c>
      <c r="AB169" s="186" t="s">
        <v>158</v>
      </c>
      <c r="AD169" s="259"/>
      <c r="AE169" s="259"/>
      <c r="AF169" s="259"/>
      <c r="AG169" s="259"/>
      <c r="AH169" s="259"/>
      <c r="AI169" s="259"/>
      <c r="AJ169" s="259"/>
      <c r="AK169" s="259"/>
      <c r="AL169" s="259"/>
      <c r="AM169" s="259"/>
      <c r="AN169" s="259"/>
      <c r="AO169" s="259"/>
    </row>
    <row r="170" spans="1:41" s="120" customFormat="1" ht="11.25" customHeight="1" x14ac:dyDescent="0.25">
      <c r="A170" s="131" t="s">
        <v>95</v>
      </c>
      <c r="B170" s="131"/>
      <c r="C170" s="131"/>
      <c r="D170" s="131"/>
      <c r="E170" s="131"/>
      <c r="F170" s="46"/>
      <c r="G170" s="112"/>
      <c r="H170" s="116">
        <f t="shared" si="79"/>
        <v>6</v>
      </c>
      <c r="J170" s="45"/>
      <c r="K170" s="46"/>
      <c r="L170" s="245"/>
      <c r="M170" s="298"/>
      <c r="N170" s="247"/>
      <c r="O170" s="245"/>
      <c r="P170" s="46"/>
      <c r="Q170" s="245"/>
      <c r="R170" s="245"/>
      <c r="S170" s="245"/>
      <c r="T170" s="245"/>
      <c r="U170" s="245"/>
      <c r="V170" s="245"/>
      <c r="W170" s="186"/>
      <c r="X170" s="186"/>
      <c r="Y170" s="186"/>
      <c r="Z170" s="186"/>
      <c r="AA170" s="186"/>
      <c r="AB170" s="186"/>
      <c r="AD170" s="259"/>
      <c r="AE170" s="259"/>
      <c r="AF170" s="259"/>
      <c r="AG170" s="259"/>
      <c r="AH170" s="259"/>
      <c r="AI170" s="259"/>
      <c r="AJ170" s="259"/>
      <c r="AK170" s="259"/>
      <c r="AL170" s="259"/>
      <c r="AM170" s="259"/>
      <c r="AN170" s="259"/>
      <c r="AO170" s="259"/>
    </row>
    <row r="171" spans="1:41" s="120" customFormat="1" ht="11.25" customHeight="1" x14ac:dyDescent="0.25">
      <c r="A171" s="131" t="s">
        <v>91</v>
      </c>
      <c r="B171" s="131"/>
      <c r="C171" s="131"/>
      <c r="D171" s="131"/>
      <c r="E171" s="131"/>
      <c r="F171" s="46"/>
      <c r="G171" s="112"/>
      <c r="H171" s="116">
        <f t="shared" si="79"/>
        <v>7</v>
      </c>
      <c r="I171" s="120" t="e">
        <f>+I169</f>
        <v>#REF!</v>
      </c>
      <c r="J171" s="45" t="s">
        <v>90</v>
      </c>
      <c r="K171" s="46" t="s">
        <v>89</v>
      </c>
      <c r="L171" s="186"/>
      <c r="M171" s="243"/>
      <c r="N171" s="237"/>
      <c r="O171" s="252" t="e">
        <v>#REF!</v>
      </c>
      <c r="P171" s="252"/>
      <c r="Q171" s="252">
        <v>1</v>
      </c>
      <c r="R171" s="252">
        <v>1</v>
      </c>
      <c r="S171" s="252">
        <v>1</v>
      </c>
      <c r="T171" s="252">
        <v>1</v>
      </c>
      <c r="U171" s="252">
        <v>1</v>
      </c>
      <c r="V171" s="252">
        <v>5</v>
      </c>
      <c r="W171" s="186"/>
      <c r="X171" s="240">
        <f>Q171/$S171*100</f>
        <v>100</v>
      </c>
      <c r="Y171" s="240">
        <f t="shared" ref="Y171:AB186" si="80">R171/$S171*100</f>
        <v>100</v>
      </c>
      <c r="Z171" s="240">
        <f t="shared" si="80"/>
        <v>100</v>
      </c>
      <c r="AA171" s="240">
        <f t="shared" si="80"/>
        <v>100</v>
      </c>
      <c r="AB171" s="240">
        <f t="shared" si="80"/>
        <v>100</v>
      </c>
      <c r="AD171" s="259"/>
      <c r="AE171" s="259"/>
      <c r="AF171" s="259"/>
      <c r="AG171" s="259"/>
      <c r="AH171" s="259"/>
      <c r="AI171" s="259"/>
      <c r="AJ171" s="259"/>
      <c r="AK171" s="259"/>
      <c r="AL171" s="259"/>
      <c r="AM171" s="259"/>
      <c r="AN171" s="259"/>
      <c r="AO171" s="259"/>
    </row>
    <row r="172" spans="1:41" s="120" customFormat="1" ht="11.25" customHeight="1" x14ac:dyDescent="0.25">
      <c r="A172" s="196" t="s">
        <v>27</v>
      </c>
      <c r="B172" s="131"/>
      <c r="C172" s="131"/>
      <c r="D172" s="131"/>
      <c r="E172" s="131"/>
      <c r="F172" s="46"/>
      <c r="G172" s="112"/>
      <c r="H172" s="116">
        <f t="shared" si="79"/>
        <v>8</v>
      </c>
      <c r="I172" s="120" t="e">
        <f t="shared" ref="I172:I178" si="81">+I171</f>
        <v>#REF!</v>
      </c>
      <c r="J172" s="45" t="str">
        <f>+J$61</f>
        <v>Kupljen material in storitve</v>
      </c>
      <c r="K172" s="46"/>
      <c r="L172" s="46"/>
      <c r="M172" s="229"/>
      <c r="N172" s="46"/>
      <c r="O172" s="252" t="e">
        <v>#REF!</v>
      </c>
      <c r="P172" s="46"/>
      <c r="Q172" s="252">
        <v>2370.3741266503457</v>
      </c>
      <c r="R172" s="252">
        <v>2218.8091085748983</v>
      </c>
      <c r="S172" s="252">
        <v>2080.2581171505458</v>
      </c>
      <c r="T172" s="252">
        <v>1941.0093565491475</v>
      </c>
      <c r="U172" s="252">
        <v>1771.3949459477487</v>
      </c>
      <c r="V172" s="252">
        <v>2049.5337945959486</v>
      </c>
      <c r="W172" s="245"/>
      <c r="X172" s="240">
        <f t="shared" ref="X172:X187" si="82">Q172/$S172*100</f>
        <v>113.94615442708567</v>
      </c>
      <c r="Y172" s="240">
        <f t="shared" si="80"/>
        <v>106.66027885107519</v>
      </c>
      <c r="Z172" s="240">
        <f t="shared" si="80"/>
        <v>100</v>
      </c>
      <c r="AA172" s="240">
        <f t="shared" si="80"/>
        <v>93.306178716315472</v>
      </c>
      <c r="AB172" s="240">
        <f t="shared" si="80"/>
        <v>85.152651555285573</v>
      </c>
      <c r="AD172" s="259"/>
      <c r="AE172" s="259"/>
      <c r="AF172" s="259"/>
      <c r="AG172" s="259"/>
      <c r="AH172" s="259"/>
      <c r="AI172" s="259"/>
      <c r="AJ172" s="259"/>
      <c r="AK172" s="259"/>
      <c r="AL172" s="259"/>
      <c r="AM172" s="259"/>
      <c r="AN172" s="259"/>
      <c r="AO172" s="259"/>
    </row>
    <row r="173" spans="1:41" s="126" customFormat="1" ht="11.25" customHeight="1" x14ac:dyDescent="0.25">
      <c r="A173" s="131" t="s">
        <v>6</v>
      </c>
      <c r="B173" s="131"/>
      <c r="C173" s="131"/>
      <c r="D173" s="131"/>
      <c r="E173" s="131"/>
      <c r="F173" s="46"/>
      <c r="G173" s="112"/>
      <c r="H173" s="116">
        <f t="shared" si="79"/>
        <v>9</v>
      </c>
      <c r="I173" s="120" t="e">
        <f t="shared" si="81"/>
        <v>#REF!</v>
      </c>
      <c r="J173" s="45" t="str">
        <f>+J$62</f>
        <v>Stroški skupaj</v>
      </c>
      <c r="K173" s="46" t="str">
        <f>+K$62</f>
        <v>EUR/ha</v>
      </c>
      <c r="L173" s="125"/>
      <c r="M173" s="307"/>
      <c r="N173" s="124"/>
      <c r="O173" s="252" t="e">
        <v>#REF!</v>
      </c>
      <c r="P173" s="124"/>
      <c r="Q173" s="252">
        <v>2882.6031575451302</v>
      </c>
      <c r="R173" s="252">
        <v>2705.6646781399886</v>
      </c>
      <c r="S173" s="252">
        <v>2564.449193728894</v>
      </c>
      <c r="T173" s="252">
        <v>2422.4822841635314</v>
      </c>
      <c r="U173" s="252">
        <v>2249.660941831045</v>
      </c>
      <c r="V173" s="252">
        <v>2458.7886324697579</v>
      </c>
      <c r="W173" s="249"/>
      <c r="X173" s="240">
        <f t="shared" si="82"/>
        <v>112.40632743258281</v>
      </c>
      <c r="Y173" s="240">
        <f t="shared" si="80"/>
        <v>105.5066594712199</v>
      </c>
      <c r="Z173" s="240">
        <f t="shared" si="80"/>
        <v>100</v>
      </c>
      <c r="AA173" s="240">
        <f t="shared" si="80"/>
        <v>94.464038908919363</v>
      </c>
      <c r="AB173" s="240">
        <f t="shared" si="80"/>
        <v>87.724917589803212</v>
      </c>
      <c r="AD173" s="259"/>
      <c r="AE173" s="259"/>
      <c r="AF173" s="259"/>
      <c r="AG173" s="259"/>
      <c r="AH173" s="259"/>
      <c r="AI173" s="259"/>
      <c r="AJ173" s="259"/>
      <c r="AK173" s="259"/>
      <c r="AL173" s="259"/>
      <c r="AM173" s="259"/>
      <c r="AN173" s="259"/>
      <c r="AO173" s="259"/>
    </row>
    <row r="174" spans="1:41" s="120" customFormat="1" ht="11.25" customHeight="1" x14ac:dyDescent="0.25">
      <c r="A174" s="131" t="s">
        <v>5</v>
      </c>
      <c r="B174" s="131"/>
      <c r="C174" s="131"/>
      <c r="D174" s="131"/>
      <c r="E174" s="131"/>
      <c r="F174" s="46"/>
      <c r="G174" s="112"/>
      <c r="H174" s="116">
        <f t="shared" si="79"/>
        <v>10</v>
      </c>
      <c r="I174" s="120" t="e">
        <f t="shared" si="81"/>
        <v>#REF!</v>
      </c>
      <c r="J174" s="45" t="str">
        <f>+J$63</f>
        <v>Stranski pridelki</v>
      </c>
      <c r="K174" s="46" t="str">
        <f>+K$63</f>
        <v>EUR/ha</v>
      </c>
      <c r="L174" s="125"/>
      <c r="M174" s="307"/>
      <c r="N174" s="125"/>
      <c r="O174" s="252" t="e">
        <v>#REF!</v>
      </c>
      <c r="P174" s="125"/>
      <c r="Q174" s="252">
        <v>0</v>
      </c>
      <c r="R174" s="252">
        <v>0</v>
      </c>
      <c r="S174" s="252">
        <v>0</v>
      </c>
      <c r="T174" s="252">
        <v>0</v>
      </c>
      <c r="U174" s="252">
        <v>0</v>
      </c>
      <c r="V174" s="252">
        <v>0</v>
      </c>
      <c r="W174" s="294"/>
      <c r="X174" s="240" t="e">
        <f t="shared" si="82"/>
        <v>#DIV/0!</v>
      </c>
      <c r="Y174" s="240" t="e">
        <f t="shared" si="80"/>
        <v>#DIV/0!</v>
      </c>
      <c r="Z174" s="240" t="e">
        <f t="shared" si="80"/>
        <v>#DIV/0!</v>
      </c>
      <c r="AA174" s="240" t="e">
        <f t="shared" si="80"/>
        <v>#DIV/0!</v>
      </c>
      <c r="AB174" s="240" t="e">
        <f t="shared" si="80"/>
        <v>#DIV/0!</v>
      </c>
      <c r="AD174" s="259"/>
      <c r="AE174" s="259"/>
      <c r="AF174" s="259"/>
      <c r="AG174" s="259"/>
      <c r="AH174" s="259"/>
      <c r="AI174" s="259"/>
      <c r="AJ174" s="259"/>
      <c r="AK174" s="259"/>
      <c r="AL174" s="259"/>
      <c r="AM174" s="259"/>
      <c r="AN174" s="259"/>
      <c r="AO174" s="259"/>
    </row>
    <row r="175" spans="1:41" s="120" customFormat="1" ht="11.25" customHeight="1" x14ac:dyDescent="0.25">
      <c r="A175" s="131"/>
      <c r="B175" s="131"/>
      <c r="C175" s="131"/>
      <c r="D175" s="131"/>
      <c r="E175" s="131"/>
      <c r="F175" s="46"/>
      <c r="G175" s="112"/>
      <c r="H175" s="116">
        <f t="shared" si="79"/>
        <v>11</v>
      </c>
      <c r="I175" s="120" t="e">
        <f t="shared" si="81"/>
        <v>#REF!</v>
      </c>
      <c r="J175" s="45" t="str">
        <f>+J$64</f>
        <v>Stroški glavnega pridelka</v>
      </c>
      <c r="K175" s="46" t="str">
        <f>+K$64</f>
        <v>EUR/ha</v>
      </c>
      <c r="L175" s="308"/>
      <c r="M175" s="307"/>
      <c r="N175" s="308"/>
      <c r="O175" s="262" t="e">
        <f>+O173-O174</f>
        <v>#REF!</v>
      </c>
      <c r="P175" s="125"/>
      <c r="Q175" s="262">
        <f>+Q173-Q174</f>
        <v>2882.6031575451302</v>
      </c>
      <c r="R175" s="262">
        <f t="shared" ref="R175:V175" si="83">+R173-R174</f>
        <v>2705.6646781399886</v>
      </c>
      <c r="S175" s="262">
        <f t="shared" si="83"/>
        <v>2564.449193728894</v>
      </c>
      <c r="T175" s="262">
        <f t="shared" si="83"/>
        <v>2422.4822841635314</v>
      </c>
      <c r="U175" s="262">
        <f t="shared" si="83"/>
        <v>2249.660941831045</v>
      </c>
      <c r="V175" s="262">
        <f t="shared" si="83"/>
        <v>2458.7886324697579</v>
      </c>
      <c r="W175" s="114"/>
      <c r="X175" s="240">
        <f t="shared" si="82"/>
        <v>112.40632743258281</v>
      </c>
      <c r="Y175" s="240">
        <f t="shared" si="80"/>
        <v>105.5066594712199</v>
      </c>
      <c r="Z175" s="240">
        <f t="shared" si="80"/>
        <v>100</v>
      </c>
      <c r="AA175" s="240">
        <f t="shared" si="80"/>
        <v>94.464038908919363</v>
      </c>
      <c r="AB175" s="240">
        <f t="shared" si="80"/>
        <v>87.724917589803212</v>
      </c>
      <c r="AD175" s="259"/>
      <c r="AE175" s="259"/>
      <c r="AF175" s="259"/>
      <c r="AG175" s="259"/>
      <c r="AH175" s="259"/>
      <c r="AI175" s="259"/>
      <c r="AJ175" s="259"/>
      <c r="AK175" s="259"/>
      <c r="AL175" s="259"/>
      <c r="AM175" s="259"/>
      <c r="AN175" s="259"/>
      <c r="AO175" s="259"/>
    </row>
    <row r="176" spans="1:41" s="120" customFormat="1" ht="11.25" customHeight="1" x14ac:dyDescent="0.25">
      <c r="A176" s="131" t="s">
        <v>4</v>
      </c>
      <c r="B176" s="131" t="s">
        <v>0</v>
      </c>
      <c r="C176" s="131" t="s">
        <v>2</v>
      </c>
      <c r="D176" s="131" t="s">
        <v>1</v>
      </c>
      <c r="E176" s="131" t="s">
        <v>0</v>
      </c>
      <c r="F176" s="46"/>
      <c r="G176" s="112"/>
      <c r="H176" s="116">
        <f t="shared" si="79"/>
        <v>12</v>
      </c>
      <c r="I176" s="120" t="e">
        <f t="shared" si="81"/>
        <v>#REF!</v>
      </c>
      <c r="J176" s="45" t="str">
        <f>+J$65</f>
        <v>Subvencije</v>
      </c>
      <c r="K176" s="46" t="str">
        <f>+K$65</f>
        <v>EUR/ha</v>
      </c>
      <c r="L176" s="125"/>
      <c r="M176" s="307"/>
      <c r="N176" s="125"/>
      <c r="O176" s="252" t="e">
        <v>#REF!</v>
      </c>
      <c r="P176" s="125"/>
      <c r="Q176" s="252">
        <v>23.94</v>
      </c>
      <c r="R176" s="252">
        <v>23.94</v>
      </c>
      <c r="S176" s="252">
        <v>23.94</v>
      </c>
      <c r="T176" s="252">
        <v>23.94</v>
      </c>
      <c r="U176" s="252">
        <v>23.94</v>
      </c>
      <c r="V176" s="252">
        <v>23.94</v>
      </c>
      <c r="W176" s="114"/>
      <c r="X176" s="240">
        <f t="shared" si="82"/>
        <v>100</v>
      </c>
      <c r="Y176" s="240">
        <f t="shared" si="80"/>
        <v>100</v>
      </c>
      <c r="Z176" s="240">
        <f t="shared" si="80"/>
        <v>100</v>
      </c>
      <c r="AA176" s="240">
        <f t="shared" si="80"/>
        <v>100</v>
      </c>
      <c r="AB176" s="240">
        <f t="shared" si="80"/>
        <v>100</v>
      </c>
      <c r="AD176" s="259"/>
      <c r="AE176" s="259"/>
      <c r="AF176" s="259"/>
      <c r="AG176" s="259"/>
      <c r="AH176" s="259"/>
      <c r="AI176" s="259"/>
      <c r="AJ176" s="259"/>
      <c r="AK176" s="259"/>
      <c r="AL176" s="259"/>
      <c r="AM176" s="259"/>
      <c r="AN176" s="259"/>
      <c r="AO176" s="259"/>
    </row>
    <row r="177" spans="1:41" s="120" customFormat="1" ht="11.25" customHeight="1" x14ac:dyDescent="0.25">
      <c r="A177" s="131"/>
      <c r="B177" s="131"/>
      <c r="C177" s="131" t="s">
        <v>13</v>
      </c>
      <c r="D177" s="131"/>
      <c r="E177" s="131"/>
      <c r="F177" s="46"/>
      <c r="G177" s="112"/>
      <c r="H177" s="116">
        <f t="shared" si="79"/>
        <v>13</v>
      </c>
      <c r="I177" s="120" t="e">
        <f t="shared" si="81"/>
        <v>#REF!</v>
      </c>
      <c r="J177" s="45" t="str">
        <f>+J$66</f>
        <v>Stroški, zmanjšani za subvencije</v>
      </c>
      <c r="K177" s="46" t="str">
        <f>+K$66</f>
        <v>EUR/ha</v>
      </c>
      <c r="L177" s="308"/>
      <c r="M177" s="307"/>
      <c r="N177" s="308"/>
      <c r="O177" s="264" t="e">
        <f>+O175-O176</f>
        <v>#REF!</v>
      </c>
      <c r="P177" s="125"/>
      <c r="Q177" s="264">
        <f>+Q175-Q176</f>
        <v>2858.6631575451302</v>
      </c>
      <c r="R177" s="264">
        <f t="shared" ref="R177:V177" si="84">+R175-R176</f>
        <v>2681.7246781399886</v>
      </c>
      <c r="S177" s="264">
        <f t="shared" si="84"/>
        <v>2540.5091937288939</v>
      </c>
      <c r="T177" s="264">
        <f t="shared" si="84"/>
        <v>2398.5422841635313</v>
      </c>
      <c r="U177" s="264">
        <f t="shared" si="84"/>
        <v>2225.7209418310449</v>
      </c>
      <c r="V177" s="264">
        <f t="shared" si="84"/>
        <v>2434.8486324697578</v>
      </c>
      <c r="W177" s="114"/>
      <c r="X177" s="240">
        <f t="shared" si="82"/>
        <v>112.52323607415322</v>
      </c>
      <c r="Y177" s="240">
        <f t="shared" si="80"/>
        <v>105.55855041814756</v>
      </c>
      <c r="Z177" s="240">
        <f t="shared" si="80"/>
        <v>100</v>
      </c>
      <c r="AA177" s="240">
        <f t="shared" si="80"/>
        <v>94.411871843809891</v>
      </c>
      <c r="AB177" s="240">
        <f t="shared" si="80"/>
        <v>87.609245710470702</v>
      </c>
      <c r="AD177" s="259"/>
      <c r="AE177" s="259"/>
      <c r="AF177" s="259"/>
      <c r="AG177" s="259"/>
      <c r="AH177" s="259"/>
      <c r="AI177" s="259"/>
      <c r="AJ177" s="259"/>
      <c r="AK177" s="259"/>
      <c r="AL177" s="259"/>
      <c r="AM177" s="259"/>
      <c r="AN177" s="259"/>
      <c r="AO177" s="259"/>
    </row>
    <row r="178" spans="1:41" s="120" customFormat="1" ht="11.25" customHeight="1" x14ac:dyDescent="0.25">
      <c r="A178" s="131"/>
      <c r="B178" s="131"/>
      <c r="C178" s="131"/>
      <c r="D178" s="131"/>
      <c r="E178" s="131"/>
      <c r="F178" s="46"/>
      <c r="G178" s="112"/>
      <c r="H178" s="116">
        <f t="shared" si="79"/>
        <v>14</v>
      </c>
      <c r="I178" s="120" t="e">
        <f t="shared" si="81"/>
        <v>#REF!</v>
      </c>
      <c r="J178" s="45" t="str">
        <f>+J$67</f>
        <v>Stroški, zmanjšani za subvencije/kg</v>
      </c>
      <c r="K178" s="46" t="str">
        <f>+K$67</f>
        <v>EUR/kg</v>
      </c>
      <c r="L178" s="309"/>
      <c r="M178" s="310"/>
      <c r="N178" s="308"/>
      <c r="O178" s="270" t="e">
        <f>+O177/O169</f>
        <v>#REF!</v>
      </c>
      <c r="P178" s="311"/>
      <c r="Q178" s="270">
        <f>+Q177/Q169</f>
        <v>0.2382219297954275</v>
      </c>
      <c r="R178" s="270">
        <f t="shared" ref="R178:V178" si="85">+R177/R169</f>
        <v>0.24379315255818076</v>
      </c>
      <c r="S178" s="270">
        <f t="shared" si="85"/>
        <v>0.25405091937288937</v>
      </c>
      <c r="T178" s="270">
        <f t="shared" si="85"/>
        <v>0.26650469824039236</v>
      </c>
      <c r="U178" s="270">
        <f t="shared" si="85"/>
        <v>0.27821511772888063</v>
      </c>
      <c r="V178" s="270">
        <f t="shared" si="85"/>
        <v>0.2434848632469758</v>
      </c>
      <c r="W178" s="114"/>
      <c r="X178" s="240">
        <f t="shared" si="82"/>
        <v>93.769363395127698</v>
      </c>
      <c r="Y178" s="240">
        <f t="shared" si="80"/>
        <v>95.96231856195233</v>
      </c>
      <c r="Z178" s="240">
        <f t="shared" si="80"/>
        <v>100</v>
      </c>
      <c r="AA178" s="240">
        <f t="shared" si="80"/>
        <v>104.90207982645543</v>
      </c>
      <c r="AB178" s="240">
        <f t="shared" si="80"/>
        <v>109.51155713808841</v>
      </c>
      <c r="AD178" s="259"/>
      <c r="AE178" s="259"/>
      <c r="AF178" s="259"/>
      <c r="AG178" s="259"/>
      <c r="AH178" s="259"/>
      <c r="AI178" s="259"/>
      <c r="AJ178" s="259"/>
      <c r="AK178" s="259"/>
      <c r="AL178" s="259"/>
      <c r="AM178" s="259"/>
      <c r="AN178" s="259"/>
      <c r="AO178" s="259"/>
    </row>
    <row r="179" spans="1:41" s="120" customFormat="1" ht="11.25" customHeight="1" x14ac:dyDescent="0.25">
      <c r="A179" s="131" t="s">
        <v>169</v>
      </c>
      <c r="B179" s="131"/>
      <c r="C179" s="131"/>
      <c r="D179" s="131"/>
      <c r="E179" s="131"/>
      <c r="F179" s="46"/>
      <c r="G179" s="112"/>
      <c r="H179" s="116">
        <f t="shared" si="79"/>
        <v>15</v>
      </c>
      <c r="J179" s="45" t="str">
        <f t="shared" ref="J179" si="86">+J142</f>
        <v>davek_a</v>
      </c>
      <c r="K179" s="46"/>
      <c r="L179" s="125"/>
      <c r="M179" s="307"/>
      <c r="N179" s="125"/>
      <c r="O179" s="314" t="e">
        <v>#REF!</v>
      </c>
      <c r="P179" s="125"/>
      <c r="Q179" s="314">
        <v>28.503490104291938</v>
      </c>
      <c r="R179" s="314">
        <v>29.58159843955033</v>
      </c>
      <c r="S179" s="314">
        <v>29.639882800799306</v>
      </c>
      <c r="T179" s="314">
        <v>29.698215707792183</v>
      </c>
      <c r="U179" s="314">
        <v>29.756548614785057</v>
      </c>
      <c r="V179" s="314">
        <v>32.792153551000716</v>
      </c>
      <c r="W179" s="315"/>
      <c r="X179" s="240">
        <f t="shared" si="82"/>
        <v>96.166001383525298</v>
      </c>
      <c r="Y179" s="240">
        <f t="shared" si="80"/>
        <v>99.803358327559238</v>
      </c>
      <c r="Z179" s="240">
        <f t="shared" si="80"/>
        <v>100</v>
      </c>
      <c r="AA179" s="240">
        <f t="shared" si="80"/>
        <v>100.19680545764946</v>
      </c>
      <c r="AB179" s="240">
        <f t="shared" si="80"/>
        <v>100.39361091529891</v>
      </c>
      <c r="AD179" s="259"/>
      <c r="AE179" s="259"/>
      <c r="AF179" s="259"/>
      <c r="AG179" s="259"/>
      <c r="AH179" s="259"/>
      <c r="AI179" s="259"/>
      <c r="AJ179" s="259"/>
      <c r="AK179" s="259"/>
      <c r="AL179" s="259"/>
      <c r="AM179" s="259"/>
      <c r="AN179" s="259"/>
      <c r="AO179" s="259"/>
    </row>
    <row r="180" spans="1:41" s="120" customFormat="1" ht="11.25" customHeight="1" x14ac:dyDescent="0.25">
      <c r="A180" s="46" t="s">
        <v>113</v>
      </c>
      <c r="B180" s="131"/>
      <c r="C180" s="131"/>
      <c r="D180" s="131"/>
      <c r="E180" s="131"/>
      <c r="F180" s="46"/>
      <c r="G180" s="46"/>
      <c r="H180" s="116">
        <f t="shared" si="79"/>
        <v>16</v>
      </c>
      <c r="J180" s="45" t="str">
        <f t="shared" ref="J180:J185" si="87">+A180</f>
        <v>Pokoj obvezno</v>
      </c>
      <c r="K180" s="46"/>
      <c r="L180" s="125"/>
      <c r="M180" s="307"/>
      <c r="N180" s="125"/>
      <c r="O180" s="117" t="e">
        <v>#REF!</v>
      </c>
      <c r="P180" s="125"/>
      <c r="Q180" s="117">
        <v>24.019740285186291</v>
      </c>
      <c r="R180" s="117">
        <v>22.634174769958534</v>
      </c>
      <c r="S180" s="117">
        <v>22.559546850879681</v>
      </c>
      <c r="T180" s="117">
        <v>22.484803499456071</v>
      </c>
      <c r="U180" s="117">
        <v>22.410060148032453</v>
      </c>
      <c r="V180" s="117">
        <v>18.531912555379947</v>
      </c>
      <c r="W180" s="114"/>
      <c r="X180" s="240">
        <f t="shared" si="82"/>
        <v>106.47261863883438</v>
      </c>
      <c r="Y180" s="240">
        <f t="shared" si="80"/>
        <v>100.33080415831111</v>
      </c>
      <c r="Z180" s="240">
        <f t="shared" si="80"/>
        <v>100</v>
      </c>
      <c r="AA180" s="240">
        <f t="shared" si="80"/>
        <v>99.66868416321627</v>
      </c>
      <c r="AB180" s="240">
        <f t="shared" si="80"/>
        <v>99.337368326432511</v>
      </c>
      <c r="AD180" s="259"/>
      <c r="AE180" s="259"/>
      <c r="AF180" s="259"/>
      <c r="AG180" s="259"/>
      <c r="AH180" s="259"/>
      <c r="AI180" s="259"/>
      <c r="AJ180" s="259"/>
      <c r="AK180" s="259"/>
      <c r="AL180" s="259"/>
      <c r="AM180" s="259"/>
      <c r="AN180" s="259"/>
      <c r="AO180" s="259"/>
    </row>
    <row r="181" spans="1:41" s="126" customFormat="1" ht="11.25" customHeight="1" x14ac:dyDescent="0.25">
      <c r="A181" s="46" t="s">
        <v>112</v>
      </c>
      <c r="B181" s="131"/>
      <c r="C181" s="131"/>
      <c r="D181" s="131"/>
      <c r="E181" s="131"/>
      <c r="F181" s="46"/>
      <c r="G181" s="46"/>
      <c r="H181" s="116">
        <f t="shared" si="79"/>
        <v>17</v>
      </c>
      <c r="I181" s="120"/>
      <c r="J181" s="45" t="str">
        <f t="shared" si="87"/>
        <v>Zdrav obvezno</v>
      </c>
      <c r="K181" s="46"/>
      <c r="L181" s="124"/>
      <c r="M181" s="312"/>
      <c r="N181" s="124"/>
      <c r="O181" s="117" t="e">
        <v>#REF!</v>
      </c>
      <c r="P181" s="124"/>
      <c r="Q181" s="117">
        <v>10.987094104643276</v>
      </c>
      <c r="R181" s="117">
        <v>10.35330962058103</v>
      </c>
      <c r="S181" s="117">
        <v>10.319173365983026</v>
      </c>
      <c r="T181" s="117">
        <v>10.284984310396354</v>
      </c>
      <c r="U181" s="117">
        <v>10.250795254809681</v>
      </c>
      <c r="V181" s="117">
        <v>8.4768554850092777</v>
      </c>
      <c r="W181" s="114"/>
      <c r="X181" s="240">
        <f t="shared" si="82"/>
        <v>106.47261863883438</v>
      </c>
      <c r="Y181" s="240">
        <f t="shared" si="80"/>
        <v>100.33080415831111</v>
      </c>
      <c r="Z181" s="240">
        <f t="shared" si="80"/>
        <v>100</v>
      </c>
      <c r="AA181" s="240">
        <f t="shared" si="80"/>
        <v>99.668684163216241</v>
      </c>
      <c r="AB181" s="240">
        <f t="shared" si="80"/>
        <v>99.337368326432497</v>
      </c>
      <c r="AD181" s="259"/>
      <c r="AE181" s="259"/>
      <c r="AF181" s="259"/>
      <c r="AG181" s="259"/>
      <c r="AH181" s="259"/>
      <c r="AI181" s="259"/>
      <c r="AJ181" s="259"/>
      <c r="AK181" s="259"/>
      <c r="AL181" s="259"/>
      <c r="AM181" s="259"/>
      <c r="AN181" s="259"/>
      <c r="AO181" s="259"/>
    </row>
    <row r="182" spans="1:41" s="120" customFormat="1" ht="11.25" customHeight="1" x14ac:dyDescent="0.25">
      <c r="A182" s="46" t="s">
        <v>111</v>
      </c>
      <c r="B182" s="131"/>
      <c r="C182" s="131"/>
      <c r="D182" s="131"/>
      <c r="E182" s="131"/>
      <c r="F182" s="46"/>
      <c r="G182" s="46"/>
      <c r="H182" s="116">
        <f t="shared" si="79"/>
        <v>18</v>
      </c>
      <c r="J182" s="45" t="str">
        <f t="shared" si="87"/>
        <v>Pokoj dodatno</v>
      </c>
      <c r="K182" s="46"/>
      <c r="L182" s="125"/>
      <c r="M182" s="307"/>
      <c r="N182" s="125"/>
      <c r="O182" s="117" t="e">
        <v>#REF!</v>
      </c>
      <c r="P182" s="125"/>
      <c r="Q182" s="117">
        <v>20.297010549161016</v>
      </c>
      <c r="R182" s="117">
        <v>19.126188652453177</v>
      </c>
      <c r="S182" s="117">
        <v>19.063127035515571</v>
      </c>
      <c r="T182" s="117">
        <v>18.999967876660691</v>
      </c>
      <c r="U182" s="117">
        <v>18.936808717805828</v>
      </c>
      <c r="V182" s="117">
        <v>15.659720719988586</v>
      </c>
      <c r="W182" s="294"/>
      <c r="X182" s="240">
        <f t="shared" si="82"/>
        <v>106.47261863883432</v>
      </c>
      <c r="Y182" s="240">
        <f t="shared" si="80"/>
        <v>100.33080415831105</v>
      </c>
      <c r="Z182" s="240">
        <f t="shared" si="80"/>
        <v>100</v>
      </c>
      <c r="AA182" s="240">
        <f t="shared" si="80"/>
        <v>99.668684163216184</v>
      </c>
      <c r="AB182" s="240">
        <f t="shared" si="80"/>
        <v>99.337368326432468</v>
      </c>
      <c r="AD182" s="259"/>
      <c r="AE182" s="259"/>
      <c r="AF182" s="259"/>
      <c r="AG182" s="259"/>
      <c r="AH182" s="259"/>
      <c r="AI182" s="259"/>
      <c r="AJ182" s="259"/>
      <c r="AK182" s="259"/>
      <c r="AL182" s="259"/>
      <c r="AM182" s="259"/>
      <c r="AN182" s="259"/>
      <c r="AO182" s="259"/>
    </row>
    <row r="183" spans="1:41" s="126" customFormat="1" ht="11.25" customHeight="1" x14ac:dyDescent="0.25">
      <c r="A183" s="46" t="s">
        <v>110</v>
      </c>
      <c r="B183" s="131"/>
      <c r="C183" s="131"/>
      <c r="D183" s="131"/>
      <c r="E183" s="131"/>
      <c r="F183" s="46"/>
      <c r="G183" s="46"/>
      <c r="H183" s="116">
        <f t="shared" si="79"/>
        <v>19</v>
      </c>
      <c r="I183" s="120"/>
      <c r="J183" s="45" t="str">
        <f t="shared" si="87"/>
        <v>Zdrav dodatno</v>
      </c>
      <c r="K183" s="46"/>
      <c r="L183" s="124"/>
      <c r="M183" s="312"/>
      <c r="N183" s="124"/>
      <c r="O183" s="117" t="e">
        <v>#REF!</v>
      </c>
      <c r="P183" s="124"/>
      <c r="Q183" s="117">
        <v>9.284245470551717</v>
      </c>
      <c r="R183" s="117">
        <v>8.7486888739285806</v>
      </c>
      <c r="S183" s="117">
        <v>8.7198432697938912</v>
      </c>
      <c r="T183" s="117">
        <v>8.6909530480983417</v>
      </c>
      <c r="U183" s="117">
        <v>8.6620628264027921</v>
      </c>
      <c r="V183" s="117">
        <v>7.1630593486915508</v>
      </c>
      <c r="W183" s="114"/>
      <c r="X183" s="240">
        <f t="shared" si="82"/>
        <v>106.47261863883439</v>
      </c>
      <c r="Y183" s="240">
        <f t="shared" si="80"/>
        <v>100.33080415831111</v>
      </c>
      <c r="Z183" s="240">
        <f t="shared" si="80"/>
        <v>100</v>
      </c>
      <c r="AA183" s="240">
        <f t="shared" si="80"/>
        <v>99.668684163216241</v>
      </c>
      <c r="AB183" s="240">
        <f t="shared" si="80"/>
        <v>99.337368326432497</v>
      </c>
      <c r="AD183" s="259"/>
      <c r="AE183" s="259"/>
      <c r="AF183" s="259"/>
      <c r="AG183" s="259"/>
      <c r="AH183" s="259"/>
      <c r="AI183" s="259"/>
      <c r="AJ183" s="259"/>
      <c r="AK183" s="259"/>
      <c r="AL183" s="259"/>
      <c r="AM183" s="259"/>
      <c r="AN183" s="259"/>
      <c r="AO183" s="259"/>
    </row>
    <row r="184" spans="1:41" s="120" customFormat="1" ht="11.25" customHeight="1" x14ac:dyDescent="0.25">
      <c r="A184" s="46" t="s">
        <v>109</v>
      </c>
      <c r="B184" s="131"/>
      <c r="C184" s="131"/>
      <c r="D184" s="131"/>
      <c r="E184" s="131"/>
      <c r="F184" s="46"/>
      <c r="G184" s="46"/>
      <c r="H184" s="116">
        <f t="shared" si="79"/>
        <v>20</v>
      </c>
      <c r="J184" s="45" t="str">
        <f t="shared" si="87"/>
        <v>Regresi</v>
      </c>
      <c r="K184" s="46"/>
      <c r="L184" s="125"/>
      <c r="M184" s="307"/>
      <c r="N184" s="125"/>
      <c r="O184" s="117" t="e">
        <v>#REF!</v>
      </c>
      <c r="P184" s="125"/>
      <c r="Q184" s="117">
        <v>60.895901578571788</v>
      </c>
      <c r="R184" s="117">
        <v>57.38315496915029</v>
      </c>
      <c r="S184" s="117">
        <v>57.193954987748242</v>
      </c>
      <c r="T184" s="117">
        <v>57.004462357190874</v>
      </c>
      <c r="U184" s="117">
        <v>56.814969726633478</v>
      </c>
      <c r="V184" s="117">
        <v>46.982919450261797</v>
      </c>
      <c r="W184" s="294"/>
      <c r="X184" s="240">
        <f t="shared" si="82"/>
        <v>106.47261863883439</v>
      </c>
      <c r="Y184" s="240">
        <f t="shared" si="80"/>
        <v>100.33080415831111</v>
      </c>
      <c r="Z184" s="240">
        <f t="shared" si="80"/>
        <v>100</v>
      </c>
      <c r="AA184" s="240">
        <f t="shared" si="80"/>
        <v>99.66868416321627</v>
      </c>
      <c r="AB184" s="240">
        <f t="shared" si="80"/>
        <v>99.337368326432497</v>
      </c>
      <c r="AD184" s="259"/>
      <c r="AE184" s="259"/>
      <c r="AF184" s="259"/>
      <c r="AG184" s="259"/>
      <c r="AH184" s="259"/>
      <c r="AI184" s="259"/>
      <c r="AJ184" s="259"/>
      <c r="AK184" s="259"/>
      <c r="AL184" s="259"/>
      <c r="AM184" s="259"/>
      <c r="AN184" s="259"/>
      <c r="AO184" s="259"/>
    </row>
    <row r="185" spans="1:41" s="120" customFormat="1" ht="11.25" customHeight="1" x14ac:dyDescent="0.25">
      <c r="A185" s="131" t="s">
        <v>28</v>
      </c>
      <c r="B185" s="131"/>
      <c r="C185" s="131"/>
      <c r="D185" s="131"/>
      <c r="E185" s="131"/>
      <c r="F185" s="46"/>
      <c r="G185" s="46"/>
      <c r="H185" s="116">
        <f t="shared" si="79"/>
        <v>21</v>
      </c>
      <c r="J185" s="45" t="str">
        <f t="shared" si="87"/>
        <v>SUM element</v>
      </c>
      <c r="K185" s="46"/>
      <c r="L185" s="146"/>
      <c r="M185" s="260"/>
      <c r="N185" s="146"/>
      <c r="O185" s="252" t="e">
        <v>#REF!</v>
      </c>
      <c r="P185" s="263"/>
      <c r="Q185" s="252">
        <v>2882.6031575451298</v>
      </c>
      <c r="R185" s="252">
        <v>2705.6646781399882</v>
      </c>
      <c r="S185" s="252">
        <v>2564.449193728894</v>
      </c>
      <c r="T185" s="252">
        <v>2422.4822841635314</v>
      </c>
      <c r="U185" s="252">
        <v>2249.660941831045</v>
      </c>
      <c r="V185" s="252">
        <v>2458.7886324697574</v>
      </c>
      <c r="W185" s="294"/>
      <c r="X185" s="240">
        <f t="shared" si="82"/>
        <v>112.40632743258278</v>
      </c>
      <c r="Y185" s="240">
        <f t="shared" si="80"/>
        <v>105.50665947121989</v>
      </c>
      <c r="Z185" s="240">
        <f t="shared" si="80"/>
        <v>100</v>
      </c>
      <c r="AA185" s="240">
        <f t="shared" si="80"/>
        <v>94.464038908919363</v>
      </c>
      <c r="AB185" s="240">
        <f t="shared" si="80"/>
        <v>87.724917589803212</v>
      </c>
      <c r="AD185" s="259"/>
      <c r="AE185" s="259"/>
      <c r="AF185" s="259"/>
      <c r="AG185" s="259"/>
      <c r="AH185" s="259"/>
      <c r="AI185" s="259"/>
      <c r="AJ185" s="259"/>
      <c r="AK185" s="259"/>
      <c r="AL185" s="259"/>
      <c r="AM185" s="259"/>
      <c r="AN185" s="259"/>
      <c r="AO185" s="259"/>
    </row>
    <row r="186" spans="1:41" s="120" customFormat="1" ht="11.25" customHeight="1" x14ac:dyDescent="0.25">
      <c r="A186" s="131" t="s">
        <v>4</v>
      </c>
      <c r="B186" s="131" t="s">
        <v>0</v>
      </c>
      <c r="C186" s="131" t="s">
        <v>2</v>
      </c>
      <c r="D186" s="131" t="s">
        <v>1</v>
      </c>
      <c r="E186" s="131" t="s">
        <v>0</v>
      </c>
      <c r="F186" s="46"/>
      <c r="G186" s="46"/>
      <c r="H186" s="116">
        <f t="shared" si="79"/>
        <v>22</v>
      </c>
      <c r="J186" s="190" t="str">
        <f t="shared" ref="J186" si="88">+J149</f>
        <v>Subvencije</v>
      </c>
      <c r="K186" s="46"/>
      <c r="L186" s="146"/>
      <c r="M186" s="260"/>
      <c r="N186" s="146"/>
      <c r="O186" s="252" t="e">
        <v>#REF!</v>
      </c>
      <c r="P186" s="125"/>
      <c r="Q186" s="252">
        <v>23.94</v>
      </c>
      <c r="R186" s="252">
        <v>23.94</v>
      </c>
      <c r="S186" s="252">
        <v>23.94</v>
      </c>
      <c r="T186" s="252">
        <v>23.94</v>
      </c>
      <c r="U186" s="252">
        <v>23.94</v>
      </c>
      <c r="V186" s="252">
        <v>23.94</v>
      </c>
      <c r="W186" s="294"/>
      <c r="X186" s="240">
        <f t="shared" si="82"/>
        <v>100</v>
      </c>
      <c r="Y186" s="240">
        <f t="shared" si="80"/>
        <v>100</v>
      </c>
      <c r="Z186" s="240">
        <f t="shared" si="80"/>
        <v>100</v>
      </c>
      <c r="AA186" s="240">
        <f t="shared" si="80"/>
        <v>100</v>
      </c>
      <c r="AB186" s="240">
        <f t="shared" si="80"/>
        <v>100</v>
      </c>
      <c r="AD186" s="259"/>
      <c r="AE186" s="259"/>
      <c r="AF186" s="259"/>
      <c r="AG186" s="259"/>
      <c r="AH186" s="259"/>
      <c r="AI186" s="259"/>
      <c r="AJ186" s="259"/>
      <c r="AK186" s="259"/>
      <c r="AL186" s="259"/>
      <c r="AM186" s="259"/>
      <c r="AN186" s="259"/>
      <c r="AO186" s="259"/>
    </row>
    <row r="187" spans="1:41" s="120" customFormat="1" ht="11.25" customHeight="1" x14ac:dyDescent="0.25">
      <c r="A187" s="196" t="s">
        <v>29</v>
      </c>
      <c r="B187" s="131"/>
      <c r="C187" s="131"/>
      <c r="D187" s="131"/>
      <c r="E187" s="131"/>
      <c r="F187" s="46"/>
      <c r="G187" s="46"/>
      <c r="H187" s="116">
        <f t="shared" si="79"/>
        <v>23</v>
      </c>
      <c r="J187" s="291" t="str">
        <f>+J150</f>
        <v>Vrednost pridelave_tržna</v>
      </c>
      <c r="K187" s="46"/>
      <c r="L187" s="146"/>
      <c r="M187" s="260"/>
      <c r="N187" s="146"/>
      <c r="O187" s="302" t="e">
        <v>#REF!</v>
      </c>
      <c r="P187" s="303"/>
      <c r="Q187" s="302">
        <v>1703.9999999999998</v>
      </c>
      <c r="R187" s="302">
        <v>1561.9999999999998</v>
      </c>
      <c r="S187" s="302">
        <v>1419.9999999999998</v>
      </c>
      <c r="T187" s="302">
        <v>1277.9999999999998</v>
      </c>
      <c r="U187" s="302">
        <v>1136</v>
      </c>
      <c r="V187" s="302">
        <v>1419.9999999999998</v>
      </c>
      <c r="W187" s="294"/>
      <c r="X187" s="240">
        <f t="shared" si="82"/>
        <v>120</v>
      </c>
      <c r="Y187" s="240">
        <f t="shared" ref="Y187:Y188" si="89">R187/$S187*100</f>
        <v>110.00000000000001</v>
      </c>
      <c r="Z187" s="240">
        <f t="shared" ref="Z187:Z188" si="90">S187/$S187*100</f>
        <v>100</v>
      </c>
      <c r="AA187" s="240">
        <f t="shared" ref="AA187:AB188" si="91">T187/$S187*100</f>
        <v>90</v>
      </c>
      <c r="AB187" s="240">
        <f t="shared" si="91"/>
        <v>80.000000000000014</v>
      </c>
      <c r="AD187" s="259"/>
      <c r="AE187" s="259"/>
      <c r="AF187" s="259"/>
      <c r="AG187" s="259"/>
      <c r="AH187" s="259"/>
      <c r="AI187" s="259"/>
      <c r="AJ187" s="259"/>
      <c r="AK187" s="259"/>
      <c r="AL187" s="259"/>
      <c r="AM187" s="259"/>
      <c r="AN187" s="259"/>
      <c r="AO187" s="259"/>
    </row>
    <row r="188" spans="1:41" s="127" customFormat="1" ht="11.25" customHeight="1" x14ac:dyDescent="0.25">
      <c r="A188" s="131"/>
      <c r="B188" s="131"/>
      <c r="C188" s="131"/>
      <c r="D188" s="131"/>
      <c r="E188" s="131"/>
      <c r="F188" s="46"/>
      <c r="G188" s="133"/>
      <c r="H188" s="116">
        <f t="shared" si="79"/>
        <v>24</v>
      </c>
      <c r="I188" s="120"/>
      <c r="J188" s="72"/>
      <c r="K188" s="128"/>
      <c r="L188" s="278"/>
      <c r="M188" s="279"/>
      <c r="N188" s="272"/>
      <c r="O188" s="280" t="e">
        <f>+O173-O186-O174</f>
        <v>#REF!</v>
      </c>
      <c r="P188" s="146" t="s">
        <v>108</v>
      </c>
      <c r="Q188" s="280">
        <f>+Q173-Q186-Q174</f>
        <v>2858.6631575451302</v>
      </c>
      <c r="R188" s="280">
        <f t="shared" ref="R188:V188" si="92">+R173-R186-R174</f>
        <v>2681.7246781399886</v>
      </c>
      <c r="S188" s="280">
        <f t="shared" si="92"/>
        <v>2540.5091937288939</v>
      </c>
      <c r="T188" s="280">
        <f t="shared" si="92"/>
        <v>2398.5422841635313</v>
      </c>
      <c r="U188" s="280">
        <f t="shared" si="92"/>
        <v>2225.7209418310449</v>
      </c>
      <c r="V188" s="280">
        <f t="shared" si="92"/>
        <v>2434.8486324697578</v>
      </c>
      <c r="W188" s="294"/>
      <c r="X188" s="240">
        <f>Q188/$S188*100</f>
        <v>112.52323607415322</v>
      </c>
      <c r="Y188" s="240">
        <f t="shared" si="89"/>
        <v>105.55855041814756</v>
      </c>
      <c r="Z188" s="240">
        <f t="shared" si="90"/>
        <v>100</v>
      </c>
      <c r="AA188" s="240">
        <f t="shared" si="91"/>
        <v>94.411871843809891</v>
      </c>
      <c r="AB188" s="240">
        <f t="shared" si="91"/>
        <v>87.609245710470702</v>
      </c>
      <c r="AD188" s="259"/>
      <c r="AE188" s="259"/>
      <c r="AF188" s="259"/>
      <c r="AG188" s="259"/>
      <c r="AH188" s="259"/>
      <c r="AI188" s="259"/>
      <c r="AJ188" s="259"/>
      <c r="AK188" s="259"/>
      <c r="AL188" s="259"/>
      <c r="AM188" s="259"/>
      <c r="AN188" s="259"/>
      <c r="AO188" s="259"/>
    </row>
    <row r="189" spans="1:41" s="127" customFormat="1" ht="11.25" customHeight="1" x14ac:dyDescent="0.25">
      <c r="A189" s="131"/>
      <c r="B189" s="131"/>
      <c r="C189" s="131"/>
      <c r="D189" s="131"/>
      <c r="E189" s="131"/>
      <c r="F189" s="46"/>
      <c r="G189" s="128"/>
      <c r="H189" s="116">
        <f t="shared" si="79"/>
        <v>25</v>
      </c>
      <c r="I189" s="120"/>
      <c r="J189" s="72"/>
      <c r="K189" s="128"/>
      <c r="L189" s="278"/>
      <c r="M189" s="279"/>
      <c r="N189" s="272"/>
      <c r="O189" s="280" t="e">
        <f>O188-O180-O181</f>
        <v>#REF!</v>
      </c>
      <c r="P189" s="146" t="s">
        <v>107</v>
      </c>
      <c r="Q189" s="280">
        <f>Q188-Q180-Q181</f>
        <v>2823.6563231553005</v>
      </c>
      <c r="R189" s="280">
        <f t="shared" ref="R189:V189" si="93">R188-R180-R181</f>
        <v>2648.737193749449</v>
      </c>
      <c r="S189" s="280">
        <f t="shared" si="93"/>
        <v>2507.6304735120316</v>
      </c>
      <c r="T189" s="280">
        <f t="shared" si="93"/>
        <v>2365.7724963536789</v>
      </c>
      <c r="U189" s="280">
        <f t="shared" si="93"/>
        <v>2193.0600864282028</v>
      </c>
      <c r="V189" s="280">
        <f t="shared" si="93"/>
        <v>2407.8398644293684</v>
      </c>
      <c r="W189" s="304"/>
      <c r="X189" s="272"/>
      <c r="Y189" s="272"/>
      <c r="Z189" s="272"/>
      <c r="AA189" s="272"/>
      <c r="AB189" s="272"/>
      <c r="AD189" s="259"/>
      <c r="AE189" s="259"/>
      <c r="AF189" s="259"/>
      <c r="AG189" s="259"/>
      <c r="AH189" s="259"/>
      <c r="AI189" s="259"/>
      <c r="AJ189" s="259"/>
      <c r="AK189" s="259"/>
      <c r="AL189" s="259"/>
      <c r="AM189" s="259"/>
      <c r="AN189" s="259"/>
      <c r="AO189" s="259"/>
    </row>
    <row r="190" spans="1:41" s="126" customFormat="1" ht="11.25" customHeight="1" x14ac:dyDescent="0.25">
      <c r="A190" s="131"/>
      <c r="B190" s="131"/>
      <c r="C190" s="131"/>
      <c r="D190" s="131"/>
      <c r="E190" s="131"/>
      <c r="F190" s="46"/>
      <c r="G190" s="45"/>
      <c r="H190" s="116">
        <f t="shared" si="79"/>
        <v>26</v>
      </c>
      <c r="I190" s="120"/>
      <c r="J190" s="45"/>
      <c r="K190" s="46"/>
      <c r="L190" s="257"/>
      <c r="M190" s="258"/>
      <c r="N190" s="272"/>
      <c r="O190" s="280" t="e">
        <f>O189-O182-O183-O184</f>
        <v>#REF!</v>
      </c>
      <c r="P190" s="146" t="s">
        <v>106</v>
      </c>
      <c r="Q190" s="280">
        <f>Q189-Q182-Q183-Q184</f>
        <v>2733.1791655570159</v>
      </c>
      <c r="R190" s="280">
        <f t="shared" ref="R190:V190" si="94">R189-R182-R183-R184</f>
        <v>2563.479161253917</v>
      </c>
      <c r="S190" s="280">
        <f t="shared" si="94"/>
        <v>2422.6535482189738</v>
      </c>
      <c r="T190" s="280">
        <f t="shared" si="94"/>
        <v>2281.0771130717289</v>
      </c>
      <c r="U190" s="280">
        <f t="shared" si="94"/>
        <v>2108.6462451573607</v>
      </c>
      <c r="V190" s="280">
        <f t="shared" si="94"/>
        <v>2338.0341649104266</v>
      </c>
      <c r="W190" s="304"/>
      <c r="X190" s="272"/>
      <c r="Y190" s="272"/>
      <c r="Z190" s="272"/>
      <c r="AA190" s="272"/>
      <c r="AB190" s="272"/>
      <c r="AD190" s="259"/>
      <c r="AE190" s="259"/>
      <c r="AF190" s="259"/>
      <c r="AG190" s="259"/>
      <c r="AH190" s="259"/>
      <c r="AI190" s="259"/>
      <c r="AJ190" s="259"/>
      <c r="AK190" s="259"/>
      <c r="AL190" s="259"/>
      <c r="AM190" s="259"/>
      <c r="AN190" s="259"/>
      <c r="AO190" s="259"/>
    </row>
    <row r="191" spans="1:41" s="120" customFormat="1" ht="11.25" customHeight="1" x14ac:dyDescent="0.25">
      <c r="A191" s="131"/>
      <c r="B191" s="131"/>
      <c r="C191" s="131"/>
      <c r="D191" s="131"/>
      <c r="E191" s="131"/>
      <c r="F191" s="46"/>
      <c r="G191" s="46"/>
      <c r="H191" s="116">
        <f t="shared" si="79"/>
        <v>27</v>
      </c>
      <c r="J191" s="46"/>
      <c r="K191" s="46"/>
      <c r="L191" s="146"/>
      <c r="M191" s="260"/>
      <c r="N191" s="146"/>
      <c r="O191" s="282"/>
      <c r="P191" s="277"/>
      <c r="Q191" s="282"/>
      <c r="R191" s="282"/>
      <c r="S191" s="282"/>
      <c r="T191" s="282"/>
      <c r="U191" s="282"/>
      <c r="V191" s="282"/>
      <c r="W191" s="304"/>
      <c r="X191" s="257"/>
      <c r="Y191" s="257"/>
      <c r="Z191" s="257"/>
      <c r="AA191" s="257"/>
      <c r="AB191" s="257"/>
      <c r="AD191" s="259"/>
      <c r="AE191" s="259"/>
      <c r="AF191" s="259"/>
      <c r="AG191" s="259"/>
      <c r="AH191" s="259"/>
      <c r="AI191" s="259"/>
      <c r="AJ191" s="259"/>
      <c r="AK191" s="259"/>
      <c r="AL191" s="259"/>
      <c r="AM191" s="259"/>
      <c r="AN191" s="259"/>
      <c r="AO191" s="259"/>
    </row>
    <row r="192" spans="1:41" s="120" customFormat="1" ht="11.25" customHeight="1" x14ac:dyDescent="0.25">
      <c r="A192" s="131"/>
      <c r="B192" s="131"/>
      <c r="C192" s="131"/>
      <c r="D192" s="131"/>
      <c r="E192" s="131"/>
      <c r="F192" s="46"/>
      <c r="G192" s="46"/>
      <c r="H192" s="116">
        <f t="shared" si="79"/>
        <v>28</v>
      </c>
      <c r="J192" s="45"/>
      <c r="K192" s="46"/>
      <c r="L192" s="146"/>
      <c r="M192" s="260"/>
      <c r="N192" s="146"/>
      <c r="O192" s="285" t="e">
        <f>+O169&amp;";"&amp;O171</f>
        <v>#REF!</v>
      </c>
      <c r="P192" s="305"/>
      <c r="Q192" s="285" t="str">
        <f>+Q169&amp;";"&amp;Q171</f>
        <v>12000;1</v>
      </c>
      <c r="R192" s="285" t="str">
        <f t="shared" ref="R192:V192" si="95">+R169&amp;";"&amp;R171</f>
        <v>11000;1</v>
      </c>
      <c r="S192" s="285" t="str">
        <f t="shared" si="95"/>
        <v>10000;1</v>
      </c>
      <c r="T192" s="285" t="str">
        <f t="shared" si="95"/>
        <v>9000;1</v>
      </c>
      <c r="U192" s="285" t="str">
        <f t="shared" si="95"/>
        <v>8000;1</v>
      </c>
      <c r="V192" s="285" t="str">
        <f t="shared" si="95"/>
        <v>10000;5</v>
      </c>
      <c r="W192" s="114"/>
      <c r="X192" s="146"/>
      <c r="Y192" s="146"/>
      <c r="Z192" s="146"/>
      <c r="AA192" s="146"/>
      <c r="AB192" s="146"/>
      <c r="AD192" s="259"/>
      <c r="AE192" s="259"/>
      <c r="AF192" s="259"/>
      <c r="AG192" s="259"/>
      <c r="AH192" s="259"/>
      <c r="AI192" s="259"/>
      <c r="AJ192" s="259"/>
      <c r="AK192" s="259"/>
      <c r="AL192" s="259"/>
      <c r="AM192" s="259"/>
      <c r="AN192" s="259"/>
      <c r="AO192" s="259"/>
    </row>
    <row r="193" spans="1:41" s="120" customFormat="1" ht="11.25" customHeight="1" x14ac:dyDescent="0.25">
      <c r="A193" s="131"/>
      <c r="B193" s="131"/>
      <c r="C193" s="131"/>
      <c r="D193" s="131"/>
      <c r="E193" s="131"/>
      <c r="F193" s="46"/>
      <c r="G193" s="46"/>
      <c r="H193" s="116">
        <f t="shared" si="79"/>
        <v>29</v>
      </c>
      <c r="J193" s="46"/>
      <c r="K193" s="46"/>
      <c r="L193" s="146"/>
      <c r="M193" s="260"/>
      <c r="N193" s="146"/>
      <c r="O193" s="287" t="e">
        <f>+O188/O169*1000</f>
        <v>#REF!</v>
      </c>
      <c r="P193" s="273" t="s">
        <v>105</v>
      </c>
      <c r="Q193" s="287">
        <f>+Q188/Q169*1000</f>
        <v>238.22192979542751</v>
      </c>
      <c r="R193" s="287">
        <f t="shared" ref="R193:V193" si="96">+R188/R169*1000</f>
        <v>243.79315255818076</v>
      </c>
      <c r="S193" s="287">
        <f t="shared" si="96"/>
        <v>254.05091937288938</v>
      </c>
      <c r="T193" s="287">
        <f t="shared" si="96"/>
        <v>266.50469824039237</v>
      </c>
      <c r="U193" s="287">
        <f t="shared" si="96"/>
        <v>278.21511772888061</v>
      </c>
      <c r="V193" s="287">
        <f t="shared" si="96"/>
        <v>243.48486324697581</v>
      </c>
      <c r="W193" s="114"/>
      <c r="X193" s="146"/>
      <c r="Y193" s="146"/>
      <c r="Z193" s="146"/>
      <c r="AA193" s="146"/>
      <c r="AB193" s="146"/>
      <c r="AD193" s="259"/>
      <c r="AE193" s="259"/>
      <c r="AF193" s="259"/>
      <c r="AG193" s="259"/>
      <c r="AH193" s="259"/>
      <c r="AI193" s="259"/>
      <c r="AJ193" s="259"/>
      <c r="AK193" s="259"/>
      <c r="AL193" s="259"/>
      <c r="AM193" s="259"/>
      <c r="AN193" s="259"/>
      <c r="AO193" s="259"/>
    </row>
    <row r="194" spans="1:41" s="120" customFormat="1" ht="11.25" customHeight="1" x14ac:dyDescent="0.25">
      <c r="A194" s="131"/>
      <c r="B194" s="131"/>
      <c r="C194" s="131"/>
      <c r="D194" s="131"/>
      <c r="E194" s="131"/>
      <c r="F194" s="46"/>
      <c r="G194" s="46"/>
      <c r="H194" s="116">
        <f t="shared" si="79"/>
        <v>30</v>
      </c>
      <c r="J194" s="46"/>
      <c r="K194" s="46"/>
      <c r="L194" s="146"/>
      <c r="M194" s="260"/>
      <c r="N194" s="146"/>
      <c r="O194" s="287" t="e">
        <f>+O193*O189/O188</f>
        <v>#REF!</v>
      </c>
      <c r="P194" s="273" t="s">
        <v>104</v>
      </c>
      <c r="Q194" s="287">
        <f>+Q193*Q189/Q188</f>
        <v>235.30469359627506</v>
      </c>
      <c r="R194" s="287">
        <f t="shared" ref="R194:V194" si="97">+R193*R189/R188</f>
        <v>240.79429034085899</v>
      </c>
      <c r="S194" s="287">
        <f t="shared" si="97"/>
        <v>250.76304735120314</v>
      </c>
      <c r="T194" s="287">
        <f t="shared" si="97"/>
        <v>262.86361070596433</v>
      </c>
      <c r="U194" s="287">
        <f t="shared" si="97"/>
        <v>274.13251080352535</v>
      </c>
      <c r="V194" s="287">
        <f t="shared" si="97"/>
        <v>240.78398644293685</v>
      </c>
      <c r="W194" s="114"/>
      <c r="X194" s="146"/>
      <c r="Y194" s="146"/>
      <c r="Z194" s="146"/>
      <c r="AA194" s="146"/>
      <c r="AB194" s="146"/>
      <c r="AD194" s="259"/>
      <c r="AE194" s="259"/>
      <c r="AF194" s="259"/>
      <c r="AG194" s="259"/>
      <c r="AH194" s="259"/>
      <c r="AI194" s="259"/>
      <c r="AJ194" s="259"/>
      <c r="AK194" s="259"/>
      <c r="AL194" s="259"/>
      <c r="AM194" s="259"/>
      <c r="AN194" s="259"/>
      <c r="AO194" s="259"/>
    </row>
    <row r="195" spans="1:41" s="120" customFormat="1" ht="11.25" customHeight="1" x14ac:dyDescent="0.25">
      <c r="A195" s="131"/>
      <c r="B195" s="131"/>
      <c r="C195" s="131"/>
      <c r="D195" s="131"/>
      <c r="E195" s="131"/>
      <c r="F195" s="46"/>
      <c r="G195" s="46"/>
      <c r="H195" s="116">
        <f t="shared" si="79"/>
        <v>31</v>
      </c>
      <c r="J195" s="46"/>
      <c r="K195" s="46"/>
      <c r="L195" s="146"/>
      <c r="M195" s="260"/>
      <c r="N195" s="146"/>
      <c r="O195" s="287" t="e">
        <f>+O193*O190/O188</f>
        <v>#REF!</v>
      </c>
      <c r="P195" s="273" t="s">
        <v>103</v>
      </c>
      <c r="Q195" s="287">
        <f>+Q193*Q190/Q188</f>
        <v>227.76493046308465</v>
      </c>
      <c r="R195" s="287">
        <f t="shared" ref="R195:V195" si="98">+R193*R190/R188</f>
        <v>233.04356011399241</v>
      </c>
      <c r="S195" s="287">
        <f t="shared" si="98"/>
        <v>242.26535482189735</v>
      </c>
      <c r="T195" s="287">
        <f t="shared" si="98"/>
        <v>253.45301256352545</v>
      </c>
      <c r="U195" s="287">
        <f t="shared" si="98"/>
        <v>263.58078064467009</v>
      </c>
      <c r="V195" s="287">
        <f t="shared" si="98"/>
        <v>233.8034164910427</v>
      </c>
      <c r="W195" s="114"/>
      <c r="X195" s="146"/>
      <c r="Y195" s="146"/>
      <c r="Z195" s="146"/>
      <c r="AA195" s="146"/>
      <c r="AB195" s="146"/>
      <c r="AD195" s="259"/>
      <c r="AE195" s="259"/>
      <c r="AF195" s="259"/>
      <c r="AG195" s="259"/>
      <c r="AH195" s="259"/>
      <c r="AI195" s="259"/>
      <c r="AJ195" s="259"/>
      <c r="AK195" s="259"/>
      <c r="AL195" s="259"/>
      <c r="AM195" s="259"/>
      <c r="AN195" s="259"/>
      <c r="AO195" s="259"/>
    </row>
    <row r="196" spans="1:41" s="120" customFormat="1" ht="11.25" customHeight="1" x14ac:dyDescent="0.25">
      <c r="A196" s="131"/>
      <c r="B196" s="131"/>
      <c r="C196" s="131"/>
      <c r="D196" s="131"/>
      <c r="E196" s="131"/>
      <c r="F196" s="46"/>
      <c r="G196" s="46"/>
      <c r="H196" s="116">
        <f t="shared" si="79"/>
        <v>32</v>
      </c>
      <c r="J196" s="46"/>
      <c r="K196" s="46"/>
      <c r="L196" s="146"/>
      <c r="M196" s="260"/>
      <c r="N196" s="146"/>
      <c r="O196" s="287" t="e">
        <f>+O193-O195</f>
        <v>#REF!</v>
      </c>
      <c r="P196" s="273" t="s">
        <v>102</v>
      </c>
      <c r="Q196" s="287">
        <f>+Q193-Q195</f>
        <v>10.45699933234286</v>
      </c>
      <c r="R196" s="287">
        <f t="shared" ref="R196:V196" si="99">+R193-R195</f>
        <v>10.749592444188352</v>
      </c>
      <c r="S196" s="287">
        <f t="shared" si="99"/>
        <v>11.785564550992035</v>
      </c>
      <c r="T196" s="287">
        <f t="shared" si="99"/>
        <v>13.051685676866924</v>
      </c>
      <c r="U196" s="287">
        <f t="shared" si="99"/>
        <v>14.634337084210529</v>
      </c>
      <c r="V196" s="287">
        <f t="shared" si="99"/>
        <v>9.6814467559331092</v>
      </c>
      <c r="W196" s="114"/>
      <c r="X196" s="146"/>
      <c r="Y196" s="146"/>
      <c r="Z196" s="146"/>
      <c r="AA196" s="146"/>
      <c r="AB196" s="146"/>
      <c r="AD196" s="259"/>
      <c r="AE196" s="259"/>
      <c r="AF196" s="259"/>
      <c r="AG196" s="259"/>
      <c r="AH196" s="259"/>
      <c r="AI196" s="259"/>
      <c r="AJ196" s="259"/>
      <c r="AK196" s="259"/>
      <c r="AL196" s="259"/>
      <c r="AM196" s="259"/>
      <c r="AN196" s="259"/>
      <c r="AO196" s="259"/>
    </row>
    <row r="197" spans="1:41" s="126" customFormat="1" ht="11.25" customHeight="1" x14ac:dyDescent="0.25">
      <c r="A197" s="131"/>
      <c r="B197" s="131"/>
      <c r="C197" s="131"/>
      <c r="D197" s="131"/>
      <c r="E197" s="131"/>
      <c r="F197" s="46"/>
      <c r="G197" s="45"/>
      <c r="H197" s="116">
        <f t="shared" si="79"/>
        <v>33</v>
      </c>
      <c r="I197" s="120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114"/>
      <c r="X197" s="146"/>
      <c r="Y197" s="146"/>
      <c r="Z197" s="146"/>
      <c r="AA197" s="146"/>
      <c r="AB197" s="146"/>
      <c r="AD197" s="259"/>
      <c r="AE197" s="259"/>
      <c r="AF197" s="259"/>
      <c r="AG197" s="259"/>
      <c r="AH197" s="259"/>
      <c r="AI197" s="259"/>
      <c r="AJ197" s="259"/>
      <c r="AK197" s="259"/>
      <c r="AL197" s="259"/>
      <c r="AM197" s="259"/>
      <c r="AN197" s="259"/>
      <c r="AO197" s="259"/>
    </row>
    <row r="198" spans="1:41" s="120" customFormat="1" ht="11.25" customHeight="1" x14ac:dyDescent="0.25">
      <c r="A198" s="131" t="s">
        <v>30</v>
      </c>
      <c r="B198" s="131"/>
      <c r="C198" s="131"/>
      <c r="D198" s="131"/>
      <c r="E198" s="131"/>
      <c r="F198" s="121">
        <v>1000</v>
      </c>
      <c r="G198" s="46"/>
      <c r="H198" s="116">
        <f t="shared" si="79"/>
        <v>34</v>
      </c>
      <c r="J198" s="289" t="s">
        <v>101</v>
      </c>
      <c r="K198" s="46"/>
      <c r="L198" s="146"/>
      <c r="M198" s="260"/>
      <c r="N198" s="306"/>
      <c r="O198" s="290" t="e">
        <v>#REF!</v>
      </c>
      <c r="P198" s="289" t="str">
        <f>J198</f>
        <v>Odkupna cena; vir podatkov SURS; preračuni KIS</v>
      </c>
      <c r="Q198" s="290">
        <v>142</v>
      </c>
      <c r="R198" s="290">
        <v>142</v>
      </c>
      <c r="S198" s="290">
        <v>142</v>
      </c>
      <c r="T198" s="290">
        <v>142</v>
      </c>
      <c r="U198" s="290">
        <v>142</v>
      </c>
      <c r="V198" s="290">
        <v>142</v>
      </c>
      <c r="W198" s="294"/>
      <c r="X198" s="257"/>
      <c r="Y198" s="257"/>
      <c r="Z198" s="257"/>
      <c r="AA198" s="257"/>
      <c r="AB198" s="257"/>
      <c r="AD198" s="259"/>
      <c r="AE198" s="259"/>
      <c r="AF198" s="259"/>
      <c r="AG198" s="259"/>
      <c r="AH198" s="259"/>
      <c r="AI198" s="259"/>
      <c r="AJ198" s="259"/>
      <c r="AK198" s="259"/>
      <c r="AL198" s="259"/>
      <c r="AM198" s="259"/>
      <c r="AN198" s="259"/>
      <c r="AO198" s="259"/>
    </row>
    <row r="199" spans="1:41" s="126" customFormat="1" ht="11.25" customHeight="1" x14ac:dyDescent="0.25">
      <c r="A199" s="131"/>
      <c r="B199" s="131"/>
      <c r="C199" s="131"/>
      <c r="D199" s="131"/>
      <c r="E199" s="131"/>
      <c r="F199" s="46"/>
      <c r="G199" s="45"/>
      <c r="H199" s="116">
        <f t="shared" si="79"/>
        <v>35</v>
      </c>
      <c r="I199" s="120"/>
      <c r="J199" s="291" t="str">
        <f>+J162</f>
        <v>Bruto dodana vrednost</v>
      </c>
      <c r="K199" s="46"/>
      <c r="L199" s="257"/>
      <c r="M199" s="258"/>
      <c r="N199" s="257"/>
      <c r="O199" s="292" t="e">
        <f>O187+O186+O174-O172</f>
        <v>#REF!</v>
      </c>
      <c r="P199" s="288">
        <f t="shared" ref="P199" si="100">P187+P186-P172</f>
        <v>0</v>
      </c>
      <c r="Q199" s="292">
        <f t="shared" ref="Q199" si="101">Q187+Q186+Q174-Q172</f>
        <v>-642.43412665034589</v>
      </c>
      <c r="R199" s="292">
        <f t="shared" ref="R199:V199" si="102">R187+R186+R174-R172</f>
        <v>-632.86910857489852</v>
      </c>
      <c r="S199" s="292">
        <f t="shared" si="102"/>
        <v>-636.31811715054596</v>
      </c>
      <c r="T199" s="292">
        <f t="shared" si="102"/>
        <v>-639.06935654914764</v>
      </c>
      <c r="U199" s="292">
        <f t="shared" si="102"/>
        <v>-611.45494594774868</v>
      </c>
      <c r="V199" s="292">
        <f t="shared" si="102"/>
        <v>-605.59379459594879</v>
      </c>
      <c r="W199" s="114"/>
      <c r="X199" s="146"/>
      <c r="Y199" s="146"/>
      <c r="Z199" s="146"/>
      <c r="AA199" s="146"/>
      <c r="AB199" s="146"/>
      <c r="AD199" s="259"/>
      <c r="AE199" s="259"/>
      <c r="AF199" s="259"/>
      <c r="AG199" s="259"/>
      <c r="AH199" s="259"/>
      <c r="AI199" s="259"/>
      <c r="AJ199" s="259"/>
      <c r="AK199" s="259"/>
      <c r="AL199" s="259"/>
      <c r="AM199" s="259"/>
      <c r="AN199" s="259"/>
      <c r="AO199" s="259"/>
    </row>
    <row r="200" spans="1:41" s="120" customFormat="1" ht="11.25" customHeight="1" x14ac:dyDescent="0.25">
      <c r="A200" s="196" t="s">
        <v>26</v>
      </c>
      <c r="B200" s="131"/>
      <c r="C200" s="131"/>
      <c r="D200" s="131"/>
      <c r="E200" s="131"/>
      <c r="F200" s="46"/>
      <c r="G200" s="46"/>
      <c r="H200" s="116">
        <f t="shared" si="79"/>
        <v>36</v>
      </c>
      <c r="J200" s="275" t="s">
        <v>26</v>
      </c>
      <c r="K200" s="128"/>
      <c r="L200" s="146"/>
      <c r="M200" s="260"/>
      <c r="N200" s="146"/>
      <c r="O200" s="252" t="e">
        <v>#REF!</v>
      </c>
      <c r="P200" s="124"/>
      <c r="Q200" s="252">
        <v>154.96872965024741</v>
      </c>
      <c r="R200" s="252">
        <v>146.49089960969113</v>
      </c>
      <c r="S200" s="252">
        <v>145.08355791533032</v>
      </c>
      <c r="T200" s="252">
        <v>143.67054510778797</v>
      </c>
      <c r="U200" s="252">
        <v>142.25753230024566</v>
      </c>
      <c r="V200" s="252">
        <v>119.40565263442727</v>
      </c>
      <c r="W200" s="294"/>
      <c r="X200" s="257"/>
      <c r="Y200" s="257"/>
      <c r="Z200" s="257"/>
      <c r="AA200" s="257"/>
      <c r="AB200" s="257"/>
      <c r="AD200" s="259"/>
      <c r="AE200" s="259"/>
      <c r="AF200" s="259"/>
      <c r="AG200" s="259"/>
      <c r="AH200" s="259"/>
      <c r="AI200" s="259"/>
      <c r="AJ200" s="259"/>
      <c r="AK200" s="259"/>
      <c r="AL200" s="259"/>
      <c r="AM200" s="259"/>
      <c r="AN200" s="259"/>
      <c r="AO200" s="259"/>
    </row>
    <row r="201" spans="1:41" s="120" customFormat="1" ht="11.25" customHeight="1" x14ac:dyDescent="0.25">
      <c r="A201" s="131"/>
      <c r="B201" s="131"/>
      <c r="C201" s="131"/>
      <c r="D201" s="131"/>
      <c r="E201" s="131"/>
      <c r="F201" s="46"/>
      <c r="G201" s="146"/>
      <c r="H201" s="116">
        <f t="shared" si="79"/>
        <v>37</v>
      </c>
      <c r="J201" s="46" t="s">
        <v>190</v>
      </c>
      <c r="K201" s="128"/>
      <c r="L201" s="146"/>
      <c r="M201" s="260"/>
      <c r="N201" s="146"/>
      <c r="O201" s="313" t="e">
        <f>+O199-O200</f>
        <v>#REF!</v>
      </c>
      <c r="P201" s="260"/>
      <c r="Q201" s="313">
        <f>+Q199-Q200</f>
        <v>-797.40285630059327</v>
      </c>
      <c r="R201" s="313">
        <f t="shared" ref="R201:V201" si="103">+R199-R200</f>
        <v>-779.36000818458967</v>
      </c>
      <c r="S201" s="313">
        <f t="shared" si="103"/>
        <v>-781.40167506587625</v>
      </c>
      <c r="T201" s="313">
        <f t="shared" si="103"/>
        <v>-782.73990165693567</v>
      </c>
      <c r="U201" s="313">
        <f t="shared" si="103"/>
        <v>-753.71247824799434</v>
      </c>
      <c r="V201" s="313">
        <f t="shared" si="103"/>
        <v>-724.99944723037606</v>
      </c>
      <c r="W201" s="114"/>
      <c r="X201" s="146"/>
      <c r="Y201" s="146"/>
      <c r="Z201" s="146"/>
      <c r="AA201" s="146"/>
      <c r="AB201" s="146"/>
      <c r="AD201" s="259"/>
      <c r="AE201" s="259"/>
      <c r="AF201" s="259"/>
      <c r="AG201" s="259"/>
      <c r="AH201" s="259"/>
      <c r="AI201" s="259"/>
      <c r="AJ201" s="259"/>
      <c r="AK201" s="259"/>
      <c r="AL201" s="259"/>
      <c r="AM201" s="259"/>
      <c r="AN201" s="259"/>
      <c r="AO201" s="259"/>
    </row>
    <row r="202" spans="1:41" s="120" customFormat="1" ht="12" x14ac:dyDescent="0.25">
      <c r="A202" s="131"/>
      <c r="B202" s="131"/>
      <c r="C202" s="131"/>
      <c r="D202" s="131"/>
      <c r="E202" s="131"/>
      <c r="F202" s="198"/>
      <c r="G202" s="198"/>
      <c r="H202" s="145">
        <f>1</f>
        <v>1</v>
      </c>
      <c r="I202" s="145" t="str">
        <f>+J204</f>
        <v>Krompir pozni</v>
      </c>
      <c r="J202" s="144" t="s">
        <v>148</v>
      </c>
      <c r="K202" s="145"/>
      <c r="L202" s="145"/>
      <c r="M202" s="145"/>
      <c r="N202" s="145"/>
      <c r="O202" s="238">
        <f>O210-O222+O215-'2023'!E182-'2023'!E179</f>
        <v>4.470999999999975E-3</v>
      </c>
      <c r="P202" s="145"/>
      <c r="Q202" s="238">
        <f>Q210-Q222+Q215-'2023'!H182-'2023'!H179</f>
        <v>3.5767999981810294E-3</v>
      </c>
      <c r="R202" s="238">
        <f>R210-R222+R215-'2023'!I182-'2023'!I179</f>
        <v>4.470999999999975E-3</v>
      </c>
      <c r="S202" s="238">
        <f>S210-S222+S215-'2023'!J182-'2023'!J179</f>
        <v>5.9613333315143846E-3</v>
      </c>
      <c r="T202" s="238">
        <f>T210-T222+T215-'2023'!K182-'2023'!K179</f>
        <v>7.1535999999999822E-3</v>
      </c>
      <c r="U202" s="238">
        <f>U210-U222+U215-'2023'!L182-'2023'!L179</f>
        <v>5.9613333296953397E-3</v>
      </c>
      <c r="V202" s="238">
        <f>V210-V222+V215-'2023'!M182-'2023'!M179</f>
        <v>4.4709999981810133E-3</v>
      </c>
      <c r="W202" s="145"/>
      <c r="X202" s="145"/>
      <c r="Y202" s="145"/>
      <c r="Z202" s="145"/>
      <c r="AA202" s="145"/>
      <c r="AB202" s="145"/>
      <c r="AD202" s="259"/>
      <c r="AE202" s="259"/>
      <c r="AF202" s="259"/>
      <c r="AG202" s="259"/>
      <c r="AH202" s="259"/>
      <c r="AI202" s="259"/>
      <c r="AJ202" s="259"/>
      <c r="AK202" s="259"/>
      <c r="AL202" s="259"/>
      <c r="AM202" s="259"/>
      <c r="AN202" s="259"/>
      <c r="AO202" s="259"/>
    </row>
    <row r="203" spans="1:41" s="120" customFormat="1" ht="12" x14ac:dyDescent="0.25">
      <c r="A203" s="131"/>
      <c r="B203" s="131"/>
      <c r="C203" s="131"/>
      <c r="D203" s="131"/>
      <c r="E203" s="131"/>
      <c r="G203" s="199"/>
      <c r="H203" s="116">
        <f>H202+1</f>
        <v>2</v>
      </c>
      <c r="I203" s="120" t="str">
        <f>+I202</f>
        <v>Krompir pozni</v>
      </c>
      <c r="J203" s="118" t="s">
        <v>149</v>
      </c>
      <c r="K203" s="119"/>
      <c r="L203" s="119"/>
      <c r="M203" s="241"/>
      <c r="N203" s="119"/>
      <c r="O203" s="297" t="e">
        <f>#REF!</f>
        <v>#REF!</v>
      </c>
      <c r="P203" s="297"/>
      <c r="Q203" s="242" t="s">
        <v>144</v>
      </c>
      <c r="R203" s="242" t="s">
        <v>143</v>
      </c>
      <c r="S203" s="242" t="s">
        <v>155</v>
      </c>
      <c r="T203" s="242" t="s">
        <v>200</v>
      </c>
      <c r="U203" s="242" t="s">
        <v>201</v>
      </c>
      <c r="V203" s="119" t="s">
        <v>202</v>
      </c>
      <c r="W203" s="119"/>
      <c r="X203" s="119"/>
      <c r="Y203" s="119"/>
      <c r="Z203" s="119"/>
      <c r="AA203" s="119"/>
      <c r="AB203" s="119"/>
      <c r="AD203" s="259"/>
      <c r="AE203" s="259"/>
      <c r="AF203" s="259"/>
      <c r="AG203" s="259"/>
      <c r="AH203" s="259"/>
      <c r="AI203" s="259"/>
      <c r="AJ203" s="259"/>
      <c r="AK203" s="259"/>
      <c r="AL203" s="259"/>
      <c r="AM203" s="259"/>
      <c r="AN203" s="259"/>
      <c r="AO203" s="259"/>
    </row>
    <row r="204" spans="1:41" s="120" customFormat="1" ht="12" x14ac:dyDescent="0.25">
      <c r="A204" s="131"/>
      <c r="B204" s="131"/>
      <c r="C204" s="131"/>
      <c r="D204" s="131"/>
      <c r="E204" s="131"/>
      <c r="F204" s="200" t="e">
        <f>#REF!</f>
        <v>#REF!</v>
      </c>
      <c r="G204" s="199"/>
      <c r="H204" s="116">
        <f t="shared" ref="H204:H238" si="104">H203+1</f>
        <v>3</v>
      </c>
      <c r="I204" s="120" t="str">
        <f>+I203</f>
        <v>Krompir pozni</v>
      </c>
      <c r="J204" s="122" t="s">
        <v>264</v>
      </c>
      <c r="K204" s="46" t="str">
        <f>+K$56</f>
        <v>Enota</v>
      </c>
      <c r="L204" s="186"/>
      <c r="M204" s="243"/>
      <c r="N204" s="237"/>
      <c r="O204" s="191"/>
      <c r="P204" s="191"/>
      <c r="Q204" s="46"/>
      <c r="R204" s="46"/>
      <c r="S204" s="191"/>
      <c r="T204" s="46"/>
      <c r="U204" s="191"/>
      <c r="X204" s="120" t="s">
        <v>88</v>
      </c>
      <c r="AD204" s="259"/>
      <c r="AE204" s="259"/>
      <c r="AF204" s="259"/>
      <c r="AG204" s="259"/>
      <c r="AH204" s="259"/>
      <c r="AI204" s="259"/>
      <c r="AJ204" s="259"/>
      <c r="AK204" s="259"/>
      <c r="AL204" s="259"/>
      <c r="AM204" s="259"/>
      <c r="AN204" s="259"/>
      <c r="AO204" s="259"/>
    </row>
    <row r="205" spans="1:41" s="120" customFormat="1" ht="12" x14ac:dyDescent="0.25">
      <c r="A205" s="131"/>
      <c r="B205" s="131"/>
      <c r="C205" s="131"/>
      <c r="D205" s="131"/>
      <c r="E205" s="131"/>
      <c r="G205" s="199"/>
      <c r="H205" s="116">
        <f t="shared" si="104"/>
        <v>4</v>
      </c>
      <c r="I205" s="120" t="str">
        <f>+I204</f>
        <v>Krompir pozni</v>
      </c>
      <c r="J205" s="45" t="s">
        <v>84</v>
      </c>
      <c r="K205" s="46"/>
      <c r="L205" s="186"/>
      <c r="M205" s="243"/>
      <c r="N205" s="237"/>
      <c r="O205" s="191"/>
      <c r="P205" s="191"/>
      <c r="Q205" s="186"/>
      <c r="R205" s="186" t="s">
        <v>82</v>
      </c>
      <c r="S205" s="186" t="s">
        <v>81</v>
      </c>
      <c r="T205" s="186" t="s">
        <v>80</v>
      </c>
      <c r="U205" s="186"/>
      <c r="V205" s="186"/>
      <c r="W205" s="186"/>
      <c r="X205" s="237" t="str">
        <f>R205</f>
        <v>M 2</v>
      </c>
      <c r="Y205" s="186" t="str">
        <f>S205</f>
        <v>M 3</v>
      </c>
      <c r="Z205" s="186" t="str">
        <f>T205</f>
        <v>M 4</v>
      </c>
      <c r="AA205" s="186"/>
      <c r="AB205" s="186"/>
      <c r="AD205" s="259"/>
      <c r="AE205" s="259"/>
      <c r="AF205" s="259"/>
      <c r="AG205" s="259"/>
      <c r="AH205" s="259"/>
      <c r="AI205" s="259"/>
      <c r="AJ205" s="259"/>
      <c r="AK205" s="259"/>
      <c r="AL205" s="259"/>
      <c r="AM205" s="259"/>
      <c r="AN205" s="259"/>
      <c r="AO205" s="259"/>
    </row>
    <row r="206" spans="1:41" s="120" customFormat="1" ht="12" x14ac:dyDescent="0.25">
      <c r="A206" s="131" t="s">
        <v>22</v>
      </c>
      <c r="B206" s="131"/>
      <c r="C206" s="131"/>
      <c r="D206" s="131"/>
      <c r="E206" s="131"/>
      <c r="F206" s="46"/>
      <c r="G206" s="199"/>
      <c r="H206" s="116">
        <f t="shared" si="104"/>
        <v>5</v>
      </c>
      <c r="I206" s="120" t="str">
        <f>+I205</f>
        <v>Krompir pozni</v>
      </c>
      <c r="J206" s="45" t="s">
        <v>21</v>
      </c>
      <c r="K206" s="46" t="s">
        <v>20</v>
      </c>
      <c r="L206" s="245"/>
      <c r="M206" s="298"/>
      <c r="N206" s="247"/>
      <c r="O206" s="252">
        <v>40000</v>
      </c>
      <c r="P206" s="46"/>
      <c r="Q206" s="252">
        <v>50000</v>
      </c>
      <c r="R206" s="252">
        <v>40000</v>
      </c>
      <c r="S206" s="252">
        <v>30000</v>
      </c>
      <c r="T206" s="252">
        <v>25000</v>
      </c>
      <c r="U206" s="252">
        <v>30000</v>
      </c>
      <c r="V206" s="252">
        <v>40000</v>
      </c>
      <c r="W206" s="186"/>
      <c r="X206" s="186">
        <f>R206/$Q206*100</f>
        <v>80</v>
      </c>
      <c r="Y206" s="186">
        <f>S206/$Q206*100</f>
        <v>60</v>
      </c>
      <c r="Z206" s="186">
        <f>S206/$Q206*100</f>
        <v>60</v>
      </c>
      <c r="AA206" s="186"/>
      <c r="AB206" s="186"/>
      <c r="AD206" s="259"/>
      <c r="AE206" s="259"/>
      <c r="AF206" s="259"/>
      <c r="AG206" s="259"/>
      <c r="AH206" s="259"/>
      <c r="AI206" s="259"/>
      <c r="AJ206" s="259"/>
      <c r="AK206" s="259"/>
      <c r="AL206" s="259"/>
      <c r="AM206" s="259"/>
      <c r="AN206" s="259"/>
      <c r="AO206" s="259"/>
    </row>
    <row r="207" spans="1:41" s="120" customFormat="1" ht="12" x14ac:dyDescent="0.25">
      <c r="A207" s="131" t="s">
        <v>95</v>
      </c>
      <c r="B207" s="131"/>
      <c r="C207" s="131"/>
      <c r="D207" s="131"/>
      <c r="E207" s="131"/>
      <c r="F207" s="46"/>
      <c r="G207" s="199"/>
      <c r="H207" s="116">
        <f t="shared" si="104"/>
        <v>6</v>
      </c>
      <c r="J207" s="45"/>
      <c r="K207" s="46"/>
      <c r="L207" s="245"/>
      <c r="M207" s="298"/>
      <c r="N207" s="247"/>
      <c r="O207" s="245"/>
      <c r="P207" s="46"/>
      <c r="Q207" s="245"/>
      <c r="R207" s="245"/>
      <c r="S207" s="245"/>
      <c r="T207" s="245"/>
      <c r="U207" s="245"/>
      <c r="V207" s="245"/>
      <c r="W207" s="186"/>
      <c r="X207" s="186"/>
      <c r="Y207" s="186"/>
      <c r="Z207" s="186"/>
      <c r="AA207" s="186"/>
      <c r="AB207" s="186"/>
      <c r="AD207" s="259"/>
      <c r="AE207" s="259"/>
      <c r="AF207" s="259"/>
      <c r="AG207" s="259"/>
      <c r="AH207" s="259"/>
      <c r="AI207" s="259"/>
      <c r="AJ207" s="259"/>
      <c r="AK207" s="259"/>
      <c r="AL207" s="259"/>
      <c r="AM207" s="259"/>
      <c r="AN207" s="259"/>
      <c r="AO207" s="259"/>
    </row>
    <row r="208" spans="1:41" s="120" customFormat="1" ht="12" x14ac:dyDescent="0.25">
      <c r="A208" s="131" t="s">
        <v>91</v>
      </c>
      <c r="B208" s="131"/>
      <c r="C208" s="131"/>
      <c r="D208" s="131"/>
      <c r="E208" s="131"/>
      <c r="F208" s="46"/>
      <c r="G208" s="199"/>
      <c r="H208" s="116">
        <f t="shared" si="104"/>
        <v>7</v>
      </c>
      <c r="I208" s="120" t="str">
        <f>+I206</f>
        <v>Krompir pozni</v>
      </c>
      <c r="J208" s="45" t="s">
        <v>90</v>
      </c>
      <c r="K208" s="46" t="s">
        <v>89</v>
      </c>
      <c r="L208" s="186"/>
      <c r="M208" s="243"/>
      <c r="N208" s="237"/>
      <c r="O208" s="252">
        <v>1</v>
      </c>
      <c r="P208" s="252"/>
      <c r="Q208" s="252">
        <v>1</v>
      </c>
      <c r="R208" s="252">
        <v>1</v>
      </c>
      <c r="S208" s="252">
        <v>1</v>
      </c>
      <c r="T208" s="252">
        <v>1</v>
      </c>
      <c r="U208" s="252">
        <v>0.2</v>
      </c>
      <c r="V208" s="252">
        <v>0.5</v>
      </c>
      <c r="W208" s="186"/>
      <c r="X208" s="240"/>
      <c r="Y208" s="240"/>
      <c r="Z208" s="240"/>
      <c r="AA208" s="240"/>
      <c r="AB208" s="240"/>
      <c r="AD208" s="259"/>
      <c r="AE208" s="259"/>
      <c r="AF208" s="259"/>
      <c r="AG208" s="259"/>
      <c r="AH208" s="259"/>
      <c r="AI208" s="259"/>
      <c r="AJ208" s="259"/>
      <c r="AK208" s="259"/>
      <c r="AL208" s="259"/>
      <c r="AM208" s="259"/>
      <c r="AN208" s="259"/>
      <c r="AO208" s="259"/>
    </row>
    <row r="209" spans="1:41" s="120" customFormat="1" ht="12" x14ac:dyDescent="0.25">
      <c r="A209" s="196" t="s">
        <v>27</v>
      </c>
      <c r="B209" s="131"/>
      <c r="C209" s="131"/>
      <c r="D209" s="131"/>
      <c r="E209" s="131"/>
      <c r="F209" s="46"/>
      <c r="G209" s="199"/>
      <c r="H209" s="116">
        <f t="shared" si="104"/>
        <v>8</v>
      </c>
      <c r="I209" s="120" t="str">
        <f>+I204</f>
        <v>Krompir pozni</v>
      </c>
      <c r="J209" s="45" t="str">
        <f>+J$61</f>
        <v>Kupljen material in storitve</v>
      </c>
      <c r="K209" s="46"/>
      <c r="L209" s="46"/>
      <c r="M209" s="229"/>
      <c r="N209" s="46"/>
      <c r="O209" s="252">
        <v>5979.7645417571239</v>
      </c>
      <c r="P209" s="46"/>
      <c r="Q209" s="252">
        <v>6190.5373883328693</v>
      </c>
      <c r="R209" s="252">
        <v>5979.7645417571239</v>
      </c>
      <c r="S209" s="252">
        <v>5715.0643072342864</v>
      </c>
      <c r="T209" s="252">
        <v>5459.0919302440325</v>
      </c>
      <c r="U209" s="252">
        <v>5805.9971181173305</v>
      </c>
      <c r="V209" s="252">
        <v>6016.7382905943523</v>
      </c>
      <c r="W209" s="245"/>
      <c r="X209" s="240"/>
      <c r="Y209" s="240"/>
      <c r="Z209" s="240"/>
      <c r="AA209" s="240"/>
      <c r="AB209" s="240"/>
      <c r="AD209" s="259"/>
      <c r="AE209" s="259"/>
      <c r="AF209" s="259"/>
      <c r="AG209" s="259"/>
      <c r="AH209" s="259"/>
      <c r="AI209" s="259"/>
      <c r="AJ209" s="259"/>
      <c r="AK209" s="259"/>
      <c r="AL209" s="259"/>
      <c r="AM209" s="259"/>
      <c r="AN209" s="259"/>
      <c r="AO209" s="259"/>
    </row>
    <row r="210" spans="1:41" s="126" customFormat="1" ht="12" x14ac:dyDescent="0.25">
      <c r="A210" s="131" t="s">
        <v>6</v>
      </c>
      <c r="B210" s="131"/>
      <c r="C210" s="131"/>
      <c r="D210" s="131"/>
      <c r="E210" s="131"/>
      <c r="F210" s="46"/>
      <c r="G210" s="199"/>
      <c r="H210" s="116">
        <f t="shared" si="104"/>
        <v>9</v>
      </c>
      <c r="I210" s="120" t="str">
        <f t="shared" ref="I210:I237" si="105">+I209</f>
        <v>Krompir pozni</v>
      </c>
      <c r="J210" s="45" t="str">
        <f>+J$62</f>
        <v>Stroški skupaj</v>
      </c>
      <c r="K210" s="46" t="str">
        <f>+K$62</f>
        <v>EUR/ha</v>
      </c>
      <c r="L210" s="125"/>
      <c r="M210" s="307"/>
      <c r="N210" s="124"/>
      <c r="O210" s="252">
        <v>10769.170978766164</v>
      </c>
      <c r="P210" s="124"/>
      <c r="Q210" s="252">
        <v>11646.994875752283</v>
      </c>
      <c r="R210" s="252">
        <v>10769.170978766164</v>
      </c>
      <c r="S210" s="252">
        <v>9816.0456755040559</v>
      </c>
      <c r="T210" s="252">
        <v>9201.3613405357501</v>
      </c>
      <c r="U210" s="252">
        <v>10201.717468454659</v>
      </c>
      <c r="V210" s="252">
        <v>10927.751726365614</v>
      </c>
      <c r="W210" s="249"/>
      <c r="X210" s="240">
        <f t="shared" ref="X210:Z213" si="106">R210/$Q210*100</f>
        <v>92.463086776026245</v>
      </c>
      <c r="Y210" s="240">
        <f t="shared" si="106"/>
        <v>84.279642776695525</v>
      </c>
      <c r="Z210" s="240">
        <f t="shared" si="106"/>
        <v>79.002021025113834</v>
      </c>
      <c r="AA210" s="240"/>
      <c r="AB210" s="240"/>
      <c r="AD210" s="259"/>
      <c r="AE210" s="259"/>
      <c r="AF210" s="259"/>
      <c r="AG210" s="259"/>
      <c r="AH210" s="259"/>
      <c r="AI210" s="259"/>
      <c r="AJ210" s="259"/>
      <c r="AK210" s="259"/>
      <c r="AL210" s="259"/>
      <c r="AM210" s="259"/>
      <c r="AN210" s="259"/>
      <c r="AO210" s="259"/>
    </row>
    <row r="211" spans="1:41" s="120" customFormat="1" ht="12" x14ac:dyDescent="0.25">
      <c r="A211" s="131" t="s">
        <v>5</v>
      </c>
      <c r="B211" s="131"/>
      <c r="C211" s="131"/>
      <c r="D211" s="131"/>
      <c r="E211" s="131"/>
      <c r="F211" s="46"/>
      <c r="G211" s="199"/>
      <c r="H211" s="116">
        <f t="shared" si="104"/>
        <v>10</v>
      </c>
      <c r="I211" s="120" t="str">
        <f t="shared" si="105"/>
        <v>Krompir pozni</v>
      </c>
      <c r="J211" s="45" t="str">
        <f>+J$63</f>
        <v>Stranski pridelki</v>
      </c>
      <c r="K211" s="46" t="str">
        <f>+K$63</f>
        <v>EUR/ha</v>
      </c>
      <c r="L211" s="125"/>
      <c r="M211" s="307"/>
      <c r="N211" s="125"/>
      <c r="O211" s="252">
        <v>734.40000000000009</v>
      </c>
      <c r="P211" s="125"/>
      <c r="Q211" s="252">
        <v>918.00000000000011</v>
      </c>
      <c r="R211" s="252">
        <v>734.40000000000009</v>
      </c>
      <c r="S211" s="252">
        <v>550.80000000000007</v>
      </c>
      <c r="T211" s="252">
        <v>459.00000000000006</v>
      </c>
      <c r="U211" s="252">
        <v>550.80000000000007</v>
      </c>
      <c r="V211" s="252">
        <v>734.40000000000009</v>
      </c>
      <c r="W211" s="294"/>
      <c r="X211" s="240">
        <f t="shared" si="106"/>
        <v>80</v>
      </c>
      <c r="Y211" s="240">
        <f t="shared" si="106"/>
        <v>60</v>
      </c>
      <c r="Z211" s="240">
        <f t="shared" si="106"/>
        <v>50</v>
      </c>
      <c r="AA211" s="240"/>
      <c r="AB211" s="240"/>
      <c r="AD211" s="259"/>
      <c r="AE211" s="259"/>
      <c r="AF211" s="259"/>
      <c r="AG211" s="259"/>
      <c r="AH211" s="259"/>
      <c r="AI211" s="259"/>
      <c r="AJ211" s="259"/>
      <c r="AK211" s="259"/>
      <c r="AL211" s="259"/>
      <c r="AM211" s="259"/>
      <c r="AN211" s="259"/>
      <c r="AO211" s="259"/>
    </row>
    <row r="212" spans="1:41" s="120" customFormat="1" ht="12" x14ac:dyDescent="0.25">
      <c r="A212" s="131"/>
      <c r="B212" s="131"/>
      <c r="C212" s="131"/>
      <c r="D212" s="131"/>
      <c r="E212" s="131"/>
      <c r="F212" s="46"/>
      <c r="G212" s="199"/>
      <c r="H212" s="116">
        <f t="shared" si="104"/>
        <v>11</v>
      </c>
      <c r="I212" s="120" t="str">
        <f t="shared" si="105"/>
        <v>Krompir pozni</v>
      </c>
      <c r="J212" s="45" t="str">
        <f>+J$64</f>
        <v>Stroški glavnega pridelka</v>
      </c>
      <c r="K212" s="46" t="str">
        <f>+K$64</f>
        <v>EUR/ha</v>
      </c>
      <c r="L212" s="308"/>
      <c r="M212" s="307"/>
      <c r="N212" s="308"/>
      <c r="O212" s="262">
        <f>+O210-O211</f>
        <v>10034.770978766164</v>
      </c>
      <c r="P212" s="125"/>
      <c r="Q212" s="262">
        <f>+Q210-Q211</f>
        <v>10728.994875752283</v>
      </c>
      <c r="R212" s="262">
        <f t="shared" ref="R212:V212" si="107">+R210-R211</f>
        <v>10034.770978766164</v>
      </c>
      <c r="S212" s="262">
        <f t="shared" si="107"/>
        <v>9265.2456755040566</v>
      </c>
      <c r="T212" s="262">
        <f t="shared" si="107"/>
        <v>8742.3613405357501</v>
      </c>
      <c r="U212" s="262">
        <f t="shared" si="107"/>
        <v>9650.9174684546597</v>
      </c>
      <c r="V212" s="262">
        <f t="shared" si="107"/>
        <v>10193.351726365614</v>
      </c>
      <c r="W212" s="114"/>
      <c r="X212" s="240">
        <f t="shared" si="106"/>
        <v>93.529460075005929</v>
      </c>
      <c r="Y212" s="240">
        <f t="shared" si="106"/>
        <v>86.357070562534005</v>
      </c>
      <c r="Z212" s="240">
        <f t="shared" si="106"/>
        <v>81.483507465304513</v>
      </c>
      <c r="AA212" s="240"/>
      <c r="AB212" s="240"/>
      <c r="AD212" s="259"/>
      <c r="AE212" s="259"/>
      <c r="AF212" s="259"/>
      <c r="AG212" s="259"/>
      <c r="AH212" s="259"/>
      <c r="AI212" s="259"/>
      <c r="AJ212" s="259"/>
      <c r="AK212" s="259"/>
      <c r="AL212" s="259"/>
      <c r="AM212" s="259"/>
      <c r="AN212" s="259"/>
      <c r="AO212" s="259"/>
    </row>
    <row r="213" spans="1:41" s="120" customFormat="1" ht="12" x14ac:dyDescent="0.25">
      <c r="A213" s="131" t="s">
        <v>4</v>
      </c>
      <c r="B213" s="131" t="s">
        <v>0</v>
      </c>
      <c r="C213" s="131" t="s">
        <v>2</v>
      </c>
      <c r="D213" s="131" t="s">
        <v>1</v>
      </c>
      <c r="E213" s="131" t="s">
        <v>0</v>
      </c>
      <c r="F213" s="46"/>
      <c r="G213" s="199"/>
      <c r="H213" s="116">
        <f t="shared" si="104"/>
        <v>12</v>
      </c>
      <c r="I213" s="120" t="str">
        <f t="shared" si="105"/>
        <v>Krompir pozni</v>
      </c>
      <c r="J213" s="45" t="str">
        <f>+J$65</f>
        <v>Subvencije</v>
      </c>
      <c r="K213" s="46" t="str">
        <f>+K$65</f>
        <v>EUR/ha</v>
      </c>
      <c r="L213" s="125"/>
      <c r="M213" s="307"/>
      <c r="N213" s="125"/>
      <c r="O213" s="252">
        <v>23.94</v>
      </c>
      <c r="P213" s="125"/>
      <c r="Q213" s="252">
        <v>23.94</v>
      </c>
      <c r="R213" s="252">
        <v>23.94</v>
      </c>
      <c r="S213" s="252">
        <v>23.94</v>
      </c>
      <c r="T213" s="252">
        <v>23.94</v>
      </c>
      <c r="U213" s="252">
        <v>23.94</v>
      </c>
      <c r="V213" s="252">
        <v>23.94</v>
      </c>
      <c r="W213" s="114"/>
      <c r="X213" s="240">
        <f t="shared" si="106"/>
        <v>100</v>
      </c>
      <c r="Y213" s="240">
        <f t="shared" si="106"/>
        <v>100</v>
      </c>
      <c r="Z213" s="240">
        <f t="shared" si="106"/>
        <v>100</v>
      </c>
      <c r="AA213" s="240"/>
      <c r="AB213" s="240"/>
      <c r="AD213" s="259"/>
      <c r="AE213" s="259"/>
      <c r="AF213" s="259"/>
      <c r="AG213" s="259"/>
      <c r="AH213" s="259"/>
      <c r="AI213" s="259"/>
      <c r="AJ213" s="259"/>
      <c r="AK213" s="259"/>
      <c r="AL213" s="259"/>
      <c r="AM213" s="259"/>
      <c r="AN213" s="259"/>
      <c r="AO213" s="259"/>
    </row>
    <row r="214" spans="1:41" s="120" customFormat="1" ht="12" x14ac:dyDescent="0.25">
      <c r="A214" s="131"/>
      <c r="B214" s="131"/>
      <c r="C214" s="131" t="s">
        <v>13</v>
      </c>
      <c r="D214" s="131"/>
      <c r="E214" s="131"/>
      <c r="F214" s="46"/>
      <c r="G214" s="199"/>
      <c r="H214" s="116">
        <f t="shared" si="104"/>
        <v>13</v>
      </c>
      <c r="I214" s="120" t="str">
        <f t="shared" si="105"/>
        <v>Krompir pozni</v>
      </c>
      <c r="J214" s="45" t="str">
        <f>+J$66</f>
        <v>Stroški, zmanjšani za subvencije</v>
      </c>
      <c r="K214" s="46" t="str">
        <f>+K$66</f>
        <v>EUR/ha</v>
      </c>
      <c r="L214" s="308"/>
      <c r="M214" s="307"/>
      <c r="N214" s="308"/>
      <c r="O214" s="264">
        <f>+O212-O213</f>
        <v>10010.830978766164</v>
      </c>
      <c r="P214" s="125"/>
      <c r="Q214" s="264">
        <f>+Q212-Q213</f>
        <v>10705.054875752283</v>
      </c>
      <c r="R214" s="264">
        <f t="shared" ref="R214:V214" si="108">+R212-R213</f>
        <v>10010.830978766164</v>
      </c>
      <c r="S214" s="264">
        <f t="shared" si="108"/>
        <v>9241.3056755040561</v>
      </c>
      <c r="T214" s="264">
        <f t="shared" si="108"/>
        <v>8718.4213405357496</v>
      </c>
      <c r="U214" s="264">
        <f t="shared" si="108"/>
        <v>9626.9774684546592</v>
      </c>
      <c r="V214" s="264">
        <f t="shared" si="108"/>
        <v>10169.411726365614</v>
      </c>
      <c r="W214" s="114"/>
      <c r="X214" s="240"/>
      <c r="Y214" s="240"/>
      <c r="Z214" s="240"/>
      <c r="AA214" s="240"/>
      <c r="AB214" s="240"/>
      <c r="AD214" s="259"/>
      <c r="AE214" s="259"/>
      <c r="AF214" s="259"/>
      <c r="AG214" s="259"/>
      <c r="AH214" s="259"/>
      <c r="AI214" s="259"/>
      <c r="AJ214" s="259"/>
      <c r="AK214" s="259"/>
      <c r="AL214" s="259"/>
      <c r="AM214" s="259"/>
      <c r="AN214" s="259"/>
      <c r="AO214" s="259"/>
    </row>
    <row r="215" spans="1:41" s="120" customFormat="1" ht="12" x14ac:dyDescent="0.25">
      <c r="A215" s="131"/>
      <c r="B215" s="131"/>
      <c r="C215" s="131"/>
      <c r="D215" s="131"/>
      <c r="E215" s="131"/>
      <c r="F215" s="46"/>
      <c r="G215" s="199"/>
      <c r="H215" s="116">
        <f t="shared" si="104"/>
        <v>14</v>
      </c>
      <c r="I215" s="120" t="str">
        <f t="shared" si="105"/>
        <v>Krompir pozni</v>
      </c>
      <c r="J215" s="45" t="str">
        <f>+J$67</f>
        <v>Stroški, zmanjšani za subvencije/kg</v>
      </c>
      <c r="K215" s="46" t="str">
        <f>+K$67</f>
        <v>EUR/kg</v>
      </c>
      <c r="L215" s="309"/>
      <c r="M215" s="310"/>
      <c r="N215" s="308"/>
      <c r="O215" s="270">
        <f>+O214/O206</f>
        <v>0.25027077446915408</v>
      </c>
      <c r="P215" s="311"/>
      <c r="Q215" s="270">
        <f>+Q214/Q206</f>
        <v>0.21410109751504566</v>
      </c>
      <c r="R215" s="270">
        <f t="shared" ref="R215:V215" si="109">+R214/R206</f>
        <v>0.25027077446915408</v>
      </c>
      <c r="S215" s="270">
        <f t="shared" si="109"/>
        <v>0.30804352251680189</v>
      </c>
      <c r="T215" s="270">
        <f t="shared" si="109"/>
        <v>0.34873685362142998</v>
      </c>
      <c r="U215" s="270">
        <f t="shared" si="109"/>
        <v>0.32089924894848865</v>
      </c>
      <c r="V215" s="270">
        <f t="shared" si="109"/>
        <v>0.25423529315914034</v>
      </c>
      <c r="W215" s="114"/>
      <c r="X215" s="240">
        <f>R215/$Q215*100</f>
        <v>116.89373729229327</v>
      </c>
      <c r="Y215" s="240">
        <f>S215/$Q215*100</f>
        <v>143.87760085870394</v>
      </c>
      <c r="Z215" s="240">
        <f>T215/$Q215*100</f>
        <v>162.88419707746849</v>
      </c>
      <c r="AA215" s="240"/>
      <c r="AB215" s="240"/>
      <c r="AD215" s="259"/>
      <c r="AE215" s="259"/>
      <c r="AF215" s="259"/>
      <c r="AG215" s="259"/>
      <c r="AH215" s="259"/>
      <c r="AI215" s="259"/>
      <c r="AJ215" s="259"/>
      <c r="AK215" s="259"/>
      <c r="AL215" s="259"/>
      <c r="AM215" s="259"/>
      <c r="AN215" s="259"/>
      <c r="AO215" s="259"/>
    </row>
    <row r="216" spans="1:41" s="120" customFormat="1" ht="12" x14ac:dyDescent="0.25">
      <c r="A216" s="131" t="s">
        <v>169</v>
      </c>
      <c r="B216" s="131"/>
      <c r="C216" s="131"/>
      <c r="D216" s="131"/>
      <c r="E216" s="131"/>
      <c r="F216" s="46"/>
      <c r="G216" s="199"/>
      <c r="H216" s="116">
        <f t="shared" si="104"/>
        <v>15</v>
      </c>
      <c r="I216" s="120" t="str">
        <f t="shared" si="105"/>
        <v>Krompir pozni</v>
      </c>
      <c r="J216" s="45" t="str">
        <f t="shared" ref="J216" si="110">+J179</f>
        <v>davek_a</v>
      </c>
      <c r="K216" s="46"/>
      <c r="L216" s="125"/>
      <c r="M216" s="307"/>
      <c r="N216" s="125"/>
      <c r="O216" s="117">
        <v>0</v>
      </c>
      <c r="P216" s="125"/>
      <c r="Q216" s="117">
        <v>0</v>
      </c>
      <c r="R216" s="117">
        <v>0</v>
      </c>
      <c r="S216" s="117">
        <v>0</v>
      </c>
      <c r="T216" s="117">
        <v>0</v>
      </c>
      <c r="U216" s="117">
        <v>0</v>
      </c>
      <c r="V216" s="117">
        <v>0</v>
      </c>
      <c r="W216" s="315"/>
      <c r="X216" s="240"/>
      <c r="Y216" s="240"/>
      <c r="Z216" s="240"/>
      <c r="AA216" s="240"/>
      <c r="AB216" s="240"/>
      <c r="AD216" s="259"/>
      <c r="AE216" s="259"/>
      <c r="AF216" s="259"/>
      <c r="AG216" s="259"/>
      <c r="AH216" s="259"/>
      <c r="AI216" s="259"/>
      <c r="AJ216" s="259"/>
      <c r="AK216" s="259"/>
      <c r="AL216" s="259"/>
      <c r="AM216" s="259"/>
      <c r="AN216" s="259"/>
      <c r="AO216" s="259"/>
    </row>
    <row r="217" spans="1:41" s="126" customFormat="1" ht="12" x14ac:dyDescent="0.25">
      <c r="A217" s="46" t="s">
        <v>113</v>
      </c>
      <c r="B217" s="131"/>
      <c r="C217" s="131"/>
      <c r="D217" s="131"/>
      <c r="E217" s="131"/>
      <c r="F217" s="46"/>
      <c r="G217" s="199"/>
      <c r="H217" s="116">
        <f t="shared" si="104"/>
        <v>16</v>
      </c>
      <c r="I217" s="120" t="str">
        <f t="shared" si="105"/>
        <v>Krompir pozni</v>
      </c>
      <c r="J217" s="45" t="str">
        <f t="shared" ref="J217:J222" si="111">+A217</f>
        <v>Pokoj obvezno</v>
      </c>
      <c r="K217" s="46"/>
      <c r="L217" s="125"/>
      <c r="M217" s="307"/>
      <c r="N217" s="125"/>
      <c r="O217" s="117">
        <v>347.0134789494449</v>
      </c>
      <c r="P217" s="125"/>
      <c r="Q217" s="117">
        <v>398.48774210907305</v>
      </c>
      <c r="R217" s="117">
        <v>347.0134789494449</v>
      </c>
      <c r="S217" s="117">
        <v>294.38281130914334</v>
      </c>
      <c r="T217" s="117">
        <v>267.3577071336079</v>
      </c>
      <c r="U217" s="117">
        <v>313.69318116479491</v>
      </c>
      <c r="V217" s="117">
        <v>355.04033847085793</v>
      </c>
      <c r="W217" s="114"/>
      <c r="X217" s="240"/>
      <c r="Y217" s="240"/>
      <c r="Z217" s="240"/>
      <c r="AA217" s="240"/>
      <c r="AB217" s="240"/>
      <c r="AD217" s="259"/>
      <c r="AE217" s="259"/>
      <c r="AF217" s="259"/>
      <c r="AG217" s="259"/>
      <c r="AH217" s="259"/>
      <c r="AI217" s="259"/>
      <c r="AJ217" s="259"/>
      <c r="AK217" s="259"/>
      <c r="AL217" s="259"/>
      <c r="AM217" s="259"/>
      <c r="AN217" s="259"/>
      <c r="AO217" s="259"/>
    </row>
    <row r="218" spans="1:41" s="126" customFormat="1" ht="12" x14ac:dyDescent="0.25">
      <c r="A218" s="46" t="s">
        <v>112</v>
      </c>
      <c r="B218" s="131"/>
      <c r="C218" s="131"/>
      <c r="D218" s="131"/>
      <c r="E218" s="131"/>
      <c r="F218" s="46"/>
      <c r="G218" s="120"/>
      <c r="H218" s="116">
        <f t="shared" si="104"/>
        <v>17</v>
      </c>
      <c r="I218" s="120" t="str">
        <f t="shared" si="105"/>
        <v>Krompir pozni</v>
      </c>
      <c r="J218" s="45" t="str">
        <f t="shared" si="111"/>
        <v>Zdrav obvezno</v>
      </c>
      <c r="K218" s="46"/>
      <c r="L218" s="124"/>
      <c r="M218" s="312"/>
      <c r="N218" s="124"/>
      <c r="O218" s="117">
        <v>158.7306816613912</v>
      </c>
      <c r="P218" s="124"/>
      <c r="Q218" s="117">
        <v>182.27600590666628</v>
      </c>
      <c r="R218" s="117">
        <v>158.7306816613912</v>
      </c>
      <c r="S218" s="117">
        <v>134.65639562463386</v>
      </c>
      <c r="T218" s="117">
        <v>122.29458990821159</v>
      </c>
      <c r="U218" s="117">
        <v>143.48933254570292</v>
      </c>
      <c r="V218" s="117">
        <v>162.40232256505695</v>
      </c>
      <c r="W218" s="114"/>
      <c r="X218" s="240"/>
      <c r="Y218" s="240"/>
      <c r="Z218" s="240"/>
      <c r="AA218" s="240"/>
      <c r="AB218" s="240"/>
      <c r="AD218" s="259"/>
      <c r="AE218" s="259"/>
      <c r="AF218" s="259"/>
      <c r="AG218" s="259"/>
      <c r="AH218" s="259"/>
      <c r="AI218" s="259"/>
      <c r="AJ218" s="259"/>
      <c r="AK218" s="259"/>
      <c r="AL218" s="259"/>
      <c r="AM218" s="259"/>
      <c r="AN218" s="259"/>
      <c r="AO218" s="259"/>
    </row>
    <row r="219" spans="1:41" s="120" customFormat="1" ht="12" x14ac:dyDescent="0.25">
      <c r="A219" s="46" t="s">
        <v>111</v>
      </c>
      <c r="B219" s="131"/>
      <c r="C219" s="131"/>
      <c r="D219" s="131"/>
      <c r="E219" s="131"/>
      <c r="H219" s="116">
        <f t="shared" si="104"/>
        <v>18</v>
      </c>
      <c r="I219" s="120" t="str">
        <f t="shared" si="105"/>
        <v>Krompir pozni</v>
      </c>
      <c r="J219" s="45" t="str">
        <f t="shared" si="111"/>
        <v>Pokoj dodatno</v>
      </c>
      <c r="K219" s="46"/>
      <c r="L219" s="125"/>
      <c r="M219" s="307"/>
      <c r="N219" s="125"/>
      <c r="O219" s="117">
        <v>293.23115734443581</v>
      </c>
      <c r="P219" s="125"/>
      <c r="Q219" s="117">
        <v>336.72761692129512</v>
      </c>
      <c r="R219" s="117">
        <v>293.23115734443581</v>
      </c>
      <c r="S219" s="117">
        <v>248.75752009351993</v>
      </c>
      <c r="T219" s="117">
        <v>225.92093576619845</v>
      </c>
      <c r="U219" s="117">
        <v>265.07504792749427</v>
      </c>
      <c r="V219" s="117">
        <v>300.01396392137605</v>
      </c>
      <c r="W219" s="294"/>
      <c r="X219" s="240"/>
      <c r="Y219" s="240"/>
      <c r="Z219" s="240"/>
      <c r="AA219" s="240"/>
      <c r="AB219" s="240"/>
      <c r="AD219" s="259"/>
      <c r="AE219" s="259"/>
      <c r="AF219" s="259"/>
      <c r="AG219" s="259"/>
      <c r="AH219" s="259"/>
      <c r="AI219" s="259"/>
      <c r="AJ219" s="259"/>
      <c r="AK219" s="259"/>
      <c r="AL219" s="259"/>
      <c r="AM219" s="259"/>
      <c r="AN219" s="259"/>
      <c r="AO219" s="259"/>
    </row>
    <row r="220" spans="1:41" s="126" customFormat="1" ht="12" x14ac:dyDescent="0.25">
      <c r="A220" s="46" t="s">
        <v>110</v>
      </c>
      <c r="B220" s="131"/>
      <c r="C220" s="131"/>
      <c r="D220" s="131"/>
      <c r="E220" s="131"/>
      <c r="F220" s="120"/>
      <c r="G220" s="120"/>
      <c r="H220" s="116">
        <f t="shared" si="104"/>
        <v>19</v>
      </c>
      <c r="I220" s="120" t="str">
        <f t="shared" si="105"/>
        <v>Krompir pozni</v>
      </c>
      <c r="J220" s="45" t="str">
        <f t="shared" si="111"/>
        <v>Zdrav dodatno</v>
      </c>
      <c r="K220" s="46"/>
      <c r="L220" s="124"/>
      <c r="M220" s="312"/>
      <c r="N220" s="124"/>
      <c r="O220" s="117">
        <v>134.12960681109999</v>
      </c>
      <c r="P220" s="124"/>
      <c r="Q220" s="117">
        <v>154.02572928851492</v>
      </c>
      <c r="R220" s="117">
        <v>134.12960681109999</v>
      </c>
      <c r="S220" s="117">
        <v>113.78650435245522</v>
      </c>
      <c r="T220" s="117">
        <v>103.34060868273204</v>
      </c>
      <c r="U220" s="117">
        <v>121.25045740683444</v>
      </c>
      <c r="V220" s="117">
        <v>137.23219381951975</v>
      </c>
      <c r="W220" s="114"/>
      <c r="X220" s="240"/>
      <c r="Y220" s="240"/>
      <c r="Z220" s="240"/>
      <c r="AA220" s="240"/>
      <c r="AB220" s="240"/>
      <c r="AD220" s="259"/>
      <c r="AE220" s="259"/>
      <c r="AF220" s="259"/>
      <c r="AG220" s="259"/>
      <c r="AH220" s="259"/>
      <c r="AI220" s="259"/>
      <c r="AJ220" s="259"/>
      <c r="AK220" s="259"/>
      <c r="AL220" s="259"/>
      <c r="AM220" s="259"/>
      <c r="AN220" s="259"/>
      <c r="AO220" s="259"/>
    </row>
    <row r="221" spans="1:41" s="120" customFormat="1" ht="12" x14ac:dyDescent="0.25">
      <c r="A221" s="46" t="s">
        <v>109</v>
      </c>
      <c r="B221" s="131"/>
      <c r="C221" s="131"/>
      <c r="D221" s="131"/>
      <c r="E221" s="131"/>
      <c r="H221" s="116">
        <f t="shared" si="104"/>
        <v>20</v>
      </c>
      <c r="I221" s="120" t="str">
        <f t="shared" si="105"/>
        <v>Krompir pozni</v>
      </c>
      <c r="J221" s="45" t="str">
        <f t="shared" si="111"/>
        <v>Regresi</v>
      </c>
      <c r="K221" s="46"/>
      <c r="L221" s="125"/>
      <c r="M221" s="307"/>
      <c r="N221" s="125"/>
      <c r="O221" s="117">
        <v>879.76382798675604</v>
      </c>
      <c r="P221" s="125"/>
      <c r="Q221" s="117">
        <v>1010.2636429714918</v>
      </c>
      <c r="R221" s="117">
        <v>879.76382798675604</v>
      </c>
      <c r="S221" s="117">
        <v>746.33224552227171</v>
      </c>
      <c r="T221" s="117">
        <v>677.81701328060512</v>
      </c>
      <c r="U221" s="117">
        <v>795.28874414439906</v>
      </c>
      <c r="V221" s="117">
        <v>900.11387513953275</v>
      </c>
      <c r="W221" s="294"/>
      <c r="X221" s="240"/>
      <c r="Y221" s="240"/>
      <c r="Z221" s="240"/>
      <c r="AA221" s="240"/>
      <c r="AB221" s="240"/>
      <c r="AD221" s="259"/>
      <c r="AE221" s="259"/>
      <c r="AF221" s="259"/>
      <c r="AG221" s="259"/>
      <c r="AH221" s="259"/>
      <c r="AI221" s="259"/>
      <c r="AJ221" s="259"/>
      <c r="AK221" s="259"/>
      <c r="AL221" s="259"/>
      <c r="AM221" s="259"/>
      <c r="AN221" s="259"/>
      <c r="AO221" s="259"/>
    </row>
    <row r="222" spans="1:41" s="120" customFormat="1" ht="12" x14ac:dyDescent="0.25">
      <c r="A222" s="131" t="s">
        <v>28</v>
      </c>
      <c r="B222" s="131"/>
      <c r="C222" s="131"/>
      <c r="D222" s="131"/>
      <c r="E222" s="131"/>
      <c r="H222" s="116">
        <f t="shared" si="104"/>
        <v>21</v>
      </c>
      <c r="I222" s="120" t="str">
        <f t="shared" si="105"/>
        <v>Krompir pozni</v>
      </c>
      <c r="J222" s="45" t="str">
        <f t="shared" si="111"/>
        <v>SUM element</v>
      </c>
      <c r="K222" s="46"/>
      <c r="L222" s="146"/>
      <c r="M222" s="260"/>
      <c r="N222" s="146"/>
      <c r="O222" s="252">
        <v>10769.170978766164</v>
      </c>
      <c r="P222" s="263"/>
      <c r="Q222" s="252">
        <v>11646.994875752285</v>
      </c>
      <c r="R222" s="252">
        <v>10769.170978766164</v>
      </c>
      <c r="S222" s="252">
        <v>9816.0456755040577</v>
      </c>
      <c r="T222" s="252">
        <v>9201.3613405357501</v>
      </c>
      <c r="U222" s="252">
        <v>10201.717468454663</v>
      </c>
      <c r="V222" s="252">
        <v>10927.751726365615</v>
      </c>
      <c r="W222" s="294"/>
      <c r="X222" s="240"/>
      <c r="Y222" s="240"/>
      <c r="Z222" s="240"/>
      <c r="AA222" s="240"/>
      <c r="AB222" s="240"/>
      <c r="AD222" s="259"/>
      <c r="AE222" s="259"/>
      <c r="AF222" s="259"/>
      <c r="AG222" s="259"/>
      <c r="AH222" s="259"/>
      <c r="AI222" s="259"/>
      <c r="AJ222" s="259"/>
      <c r="AK222" s="259"/>
      <c r="AL222" s="259"/>
      <c r="AM222" s="259"/>
      <c r="AN222" s="259"/>
      <c r="AO222" s="259"/>
    </row>
    <row r="223" spans="1:41" s="120" customFormat="1" ht="12" x14ac:dyDescent="0.25">
      <c r="A223" s="131" t="s">
        <v>4</v>
      </c>
      <c r="B223" s="131" t="s">
        <v>0</v>
      </c>
      <c r="C223" s="131" t="s">
        <v>2</v>
      </c>
      <c r="D223" s="131" t="s">
        <v>1</v>
      </c>
      <c r="E223" s="131" t="s">
        <v>0</v>
      </c>
      <c r="H223" s="116">
        <f t="shared" si="104"/>
        <v>22</v>
      </c>
      <c r="I223" s="120" t="str">
        <f t="shared" si="105"/>
        <v>Krompir pozni</v>
      </c>
      <c r="J223" s="190" t="str">
        <f t="shared" ref="J223" si="112">+J186</f>
        <v>Subvencije</v>
      </c>
      <c r="K223" s="46"/>
      <c r="L223" s="146"/>
      <c r="M223" s="260"/>
      <c r="N223" s="146"/>
      <c r="O223" s="252">
        <v>23.94</v>
      </c>
      <c r="P223" s="125"/>
      <c r="Q223" s="252">
        <v>23.94</v>
      </c>
      <c r="R223" s="252">
        <v>23.94</v>
      </c>
      <c r="S223" s="252">
        <v>23.94</v>
      </c>
      <c r="T223" s="252">
        <v>23.94</v>
      </c>
      <c r="U223" s="252">
        <v>23.94</v>
      </c>
      <c r="V223" s="252">
        <v>23.94</v>
      </c>
      <c r="W223" s="294"/>
      <c r="X223" s="240"/>
      <c r="Y223" s="240"/>
      <c r="Z223" s="240"/>
      <c r="AA223" s="240"/>
      <c r="AB223" s="240"/>
      <c r="AD223" s="259"/>
      <c r="AE223" s="259"/>
      <c r="AF223" s="259"/>
      <c r="AG223" s="259"/>
      <c r="AH223" s="259"/>
      <c r="AI223" s="259"/>
      <c r="AJ223" s="259"/>
      <c r="AK223" s="259"/>
      <c r="AL223" s="259"/>
      <c r="AM223" s="259"/>
      <c r="AN223" s="259"/>
      <c r="AO223" s="259"/>
    </row>
    <row r="224" spans="1:41" s="120" customFormat="1" ht="13.5" customHeight="1" x14ac:dyDescent="0.25">
      <c r="A224" s="196" t="s">
        <v>29</v>
      </c>
      <c r="B224" s="131"/>
      <c r="C224" s="131"/>
      <c r="D224" s="131"/>
      <c r="E224" s="131"/>
      <c r="H224" s="116">
        <f t="shared" si="104"/>
        <v>23</v>
      </c>
      <c r="I224" s="120" t="str">
        <f t="shared" si="105"/>
        <v>Krompir pozni</v>
      </c>
      <c r="J224" s="291" t="str">
        <f>+J187</f>
        <v>Vrednost pridelave_tržna</v>
      </c>
      <c r="K224" s="46"/>
      <c r="L224" s="146"/>
      <c r="M224" s="260"/>
      <c r="N224" s="146"/>
      <c r="O224" s="302">
        <v>18360</v>
      </c>
      <c r="P224" s="303"/>
      <c r="Q224" s="302">
        <v>22949.999999999996</v>
      </c>
      <c r="R224" s="302">
        <v>18360</v>
      </c>
      <c r="S224" s="302">
        <v>13769.999999999998</v>
      </c>
      <c r="T224" s="302">
        <v>11474.999999999998</v>
      </c>
      <c r="U224" s="302">
        <v>13769.999999999998</v>
      </c>
      <c r="V224" s="302">
        <v>18360</v>
      </c>
      <c r="W224" s="294"/>
      <c r="X224" s="240"/>
      <c r="Y224" s="240"/>
      <c r="Z224" s="240"/>
      <c r="AA224" s="240"/>
      <c r="AB224" s="240"/>
      <c r="AD224" s="259"/>
      <c r="AE224" s="259"/>
      <c r="AF224" s="259"/>
      <c r="AG224" s="259"/>
      <c r="AH224" s="259"/>
      <c r="AI224" s="259"/>
      <c r="AJ224" s="259"/>
      <c r="AK224" s="259"/>
      <c r="AL224" s="259"/>
      <c r="AM224" s="259"/>
      <c r="AN224" s="259"/>
      <c r="AO224" s="259"/>
    </row>
    <row r="225" spans="1:41" s="127" customFormat="1" ht="12" x14ac:dyDescent="0.25">
      <c r="A225" s="131"/>
      <c r="B225" s="131"/>
      <c r="C225" s="131"/>
      <c r="D225" s="131"/>
      <c r="E225" s="131"/>
      <c r="F225" s="120"/>
      <c r="G225" s="201"/>
      <c r="H225" s="116">
        <f t="shared" si="104"/>
        <v>24</v>
      </c>
      <c r="I225" s="120" t="str">
        <f t="shared" si="105"/>
        <v>Krompir pozni</v>
      </c>
      <c r="J225" s="72"/>
      <c r="K225" s="128"/>
      <c r="L225" s="278"/>
      <c r="M225" s="279"/>
      <c r="N225" s="272"/>
      <c r="O225" s="280">
        <f>+O210-O223-O211</f>
        <v>10010.830978766164</v>
      </c>
      <c r="P225" s="146" t="s">
        <v>108</v>
      </c>
      <c r="Q225" s="280">
        <f>+Q210-Q223-Q211</f>
        <v>10705.054875752283</v>
      </c>
      <c r="R225" s="280">
        <f t="shared" ref="R225:V225" si="113">+R210-R223-R211</f>
        <v>10010.830978766164</v>
      </c>
      <c r="S225" s="280">
        <f t="shared" si="113"/>
        <v>9241.3056755040561</v>
      </c>
      <c r="T225" s="280">
        <f t="shared" si="113"/>
        <v>8718.4213405357496</v>
      </c>
      <c r="U225" s="280">
        <f t="shared" si="113"/>
        <v>9626.9774684546592</v>
      </c>
      <c r="V225" s="280">
        <f t="shared" si="113"/>
        <v>10169.411726365614</v>
      </c>
      <c r="W225" s="294"/>
      <c r="X225" s="240"/>
      <c r="Y225" s="240"/>
      <c r="Z225" s="240"/>
      <c r="AA225" s="240"/>
      <c r="AB225" s="240"/>
      <c r="AD225" s="259"/>
      <c r="AE225" s="259"/>
      <c r="AF225" s="259"/>
      <c r="AG225" s="259"/>
      <c r="AH225" s="259"/>
      <c r="AI225" s="259"/>
      <c r="AJ225" s="259"/>
      <c r="AK225" s="259"/>
      <c r="AL225" s="259"/>
      <c r="AM225" s="259"/>
      <c r="AN225" s="259"/>
      <c r="AO225" s="259"/>
    </row>
    <row r="226" spans="1:41" s="127" customFormat="1" ht="12" x14ac:dyDescent="0.25">
      <c r="A226" s="131"/>
      <c r="B226" s="131"/>
      <c r="C226" s="131"/>
      <c r="D226" s="131"/>
      <c r="E226" s="131"/>
      <c r="F226" s="120"/>
      <c r="G226" s="202"/>
      <c r="H226" s="116">
        <f t="shared" si="104"/>
        <v>25</v>
      </c>
      <c r="I226" s="120" t="str">
        <f t="shared" si="105"/>
        <v>Krompir pozni</v>
      </c>
      <c r="J226" s="72"/>
      <c r="K226" s="128"/>
      <c r="L226" s="278"/>
      <c r="M226" s="279"/>
      <c r="N226" s="272"/>
      <c r="O226" s="280">
        <f>O225-O217-O218</f>
        <v>9505.0868181553287</v>
      </c>
      <c r="P226" s="146" t="s">
        <v>107</v>
      </c>
      <c r="Q226" s="280">
        <f>Q225-Q217-Q218</f>
        <v>10124.291127736544</v>
      </c>
      <c r="R226" s="280">
        <f t="shared" ref="R226" si="114">R225-R217-R218</f>
        <v>9505.0868181553287</v>
      </c>
      <c r="S226" s="280">
        <f t="shared" ref="S226" si="115">S225-S217-S218</f>
        <v>8812.2664685702784</v>
      </c>
      <c r="T226" s="280">
        <f t="shared" ref="T226" si="116">T225-T217-T218</f>
        <v>8328.7690434939304</v>
      </c>
      <c r="U226" s="280">
        <f t="shared" ref="U226" si="117">U225-U217-U218</f>
        <v>9169.7949547441603</v>
      </c>
      <c r="V226" s="280">
        <f t="shared" ref="V226" si="118">V225-V217-V218</f>
        <v>9651.9690653297002</v>
      </c>
      <c r="W226" s="304"/>
      <c r="X226" s="272"/>
      <c r="Y226" s="272"/>
      <c r="Z226" s="272"/>
      <c r="AA226" s="272"/>
      <c r="AB226" s="272"/>
      <c r="AD226" s="259"/>
      <c r="AE226" s="259"/>
      <c r="AF226" s="259"/>
      <c r="AG226" s="259"/>
      <c r="AH226" s="259"/>
      <c r="AI226" s="259"/>
      <c r="AJ226" s="259"/>
      <c r="AK226" s="259"/>
      <c r="AL226" s="259"/>
      <c r="AM226" s="259"/>
      <c r="AN226" s="259"/>
      <c r="AO226" s="259"/>
    </row>
    <row r="227" spans="1:41" s="126" customFormat="1" ht="12" x14ac:dyDescent="0.25">
      <c r="A227" s="131"/>
      <c r="B227" s="131"/>
      <c r="C227" s="131"/>
      <c r="D227" s="131"/>
      <c r="E227" s="131"/>
      <c r="F227" s="120"/>
      <c r="H227" s="116">
        <f t="shared" si="104"/>
        <v>26</v>
      </c>
      <c r="I227" s="120" t="str">
        <f t="shared" si="105"/>
        <v>Krompir pozni</v>
      </c>
      <c r="J227" s="45"/>
      <c r="K227" s="46"/>
      <c r="L227" s="257"/>
      <c r="M227" s="258"/>
      <c r="N227" s="272"/>
      <c r="O227" s="280">
        <f>O226-O219-O220-O221</f>
        <v>8197.9622260130345</v>
      </c>
      <c r="P227" s="146" t="s">
        <v>106</v>
      </c>
      <c r="Q227" s="280">
        <f>Q226-Q219-Q220-Q221</f>
        <v>8623.2741385552436</v>
      </c>
      <c r="R227" s="280">
        <f t="shared" ref="R227" si="119">R226-R219-R220-R221</f>
        <v>8197.9622260130345</v>
      </c>
      <c r="S227" s="280">
        <f t="shared" ref="S227" si="120">S226-S219-S220-S221</f>
        <v>7703.3901986020319</v>
      </c>
      <c r="T227" s="280">
        <f t="shared" ref="T227" si="121">T226-T219-T220-T221</f>
        <v>7321.6904857643949</v>
      </c>
      <c r="U227" s="280">
        <f t="shared" ref="U227" si="122">U226-U219-U220-U221</f>
        <v>7988.1807052654322</v>
      </c>
      <c r="V227" s="280">
        <f t="shared" ref="V227" si="123">V226-V219-V220-V221</f>
        <v>8314.6090324492725</v>
      </c>
      <c r="W227" s="304"/>
      <c r="X227" s="272"/>
      <c r="Y227" s="272"/>
      <c r="Z227" s="272"/>
      <c r="AA227" s="272"/>
      <c r="AB227" s="272"/>
      <c r="AD227" s="259"/>
      <c r="AE227" s="259"/>
      <c r="AF227" s="259"/>
      <c r="AG227" s="259"/>
      <c r="AH227" s="259"/>
      <c r="AI227" s="259"/>
      <c r="AJ227" s="259"/>
      <c r="AK227" s="259"/>
      <c r="AL227" s="259"/>
      <c r="AM227" s="259"/>
      <c r="AN227" s="259"/>
      <c r="AO227" s="259"/>
    </row>
    <row r="228" spans="1:41" s="120" customFormat="1" ht="12" x14ac:dyDescent="0.25">
      <c r="A228" s="131"/>
      <c r="B228" s="131"/>
      <c r="C228" s="131"/>
      <c r="D228" s="131"/>
      <c r="E228" s="131"/>
      <c r="H228" s="116">
        <f t="shared" si="104"/>
        <v>27</v>
      </c>
      <c r="I228" s="120" t="str">
        <f t="shared" si="105"/>
        <v>Krompir pozni</v>
      </c>
      <c r="J228" s="46"/>
      <c r="K228" s="46"/>
      <c r="L228" s="146"/>
      <c r="M228" s="260"/>
      <c r="N228" s="146"/>
      <c r="O228" s="282"/>
      <c r="P228" s="277"/>
      <c r="Q228" s="282"/>
      <c r="R228" s="282"/>
      <c r="S228" s="282"/>
      <c r="T228" s="282"/>
      <c r="U228" s="282"/>
      <c r="V228" s="282"/>
      <c r="W228" s="304"/>
      <c r="X228" s="257"/>
      <c r="Y228" s="257"/>
      <c r="Z228" s="257"/>
      <c r="AA228" s="257"/>
      <c r="AB228" s="257"/>
      <c r="AD228" s="259"/>
      <c r="AE228" s="259"/>
      <c r="AF228" s="259"/>
      <c r="AG228" s="259"/>
      <c r="AH228" s="259"/>
      <c r="AI228" s="259"/>
      <c r="AJ228" s="259"/>
      <c r="AK228" s="259"/>
      <c r="AL228" s="259"/>
      <c r="AM228" s="259"/>
      <c r="AN228" s="259"/>
      <c r="AO228" s="259"/>
    </row>
    <row r="229" spans="1:41" s="120" customFormat="1" ht="12" x14ac:dyDescent="0.25">
      <c r="A229" s="131"/>
      <c r="B229" s="131"/>
      <c r="C229" s="131"/>
      <c r="D229" s="131"/>
      <c r="E229" s="131"/>
      <c r="H229" s="116">
        <f t="shared" si="104"/>
        <v>28</v>
      </c>
      <c r="I229" s="120" t="str">
        <f t="shared" si="105"/>
        <v>Krompir pozni</v>
      </c>
      <c r="J229" s="45"/>
      <c r="K229" s="46"/>
      <c r="L229" s="146"/>
      <c r="M229" s="260"/>
      <c r="N229" s="146"/>
      <c r="O229" s="285" t="str">
        <f>+O206&amp;";"&amp;O208</f>
        <v>40000;1</v>
      </c>
      <c r="P229" s="305"/>
      <c r="Q229" s="285" t="str">
        <f>+Q206&amp;";"&amp;Q208</f>
        <v>50000;1</v>
      </c>
      <c r="R229" s="285" t="str">
        <f t="shared" ref="R229:V229" si="124">+R206&amp;";"&amp;R208</f>
        <v>40000;1</v>
      </c>
      <c r="S229" s="285" t="str">
        <f t="shared" si="124"/>
        <v>30000;1</v>
      </c>
      <c r="T229" s="285" t="str">
        <f t="shared" si="124"/>
        <v>25000;1</v>
      </c>
      <c r="U229" s="285" t="str">
        <f t="shared" si="124"/>
        <v>30000;0,2</v>
      </c>
      <c r="V229" s="285" t="str">
        <f t="shared" si="124"/>
        <v>40000;0,5</v>
      </c>
      <c r="W229" s="114"/>
      <c r="X229" s="146"/>
      <c r="Y229" s="146"/>
      <c r="Z229" s="146"/>
      <c r="AA229" s="146"/>
      <c r="AB229" s="146"/>
      <c r="AD229" s="259"/>
      <c r="AE229" s="259"/>
      <c r="AF229" s="259"/>
      <c r="AG229" s="259"/>
      <c r="AH229" s="259"/>
      <c r="AI229" s="259"/>
      <c r="AJ229" s="259"/>
      <c r="AK229" s="259"/>
      <c r="AL229" s="259"/>
      <c r="AM229" s="259"/>
      <c r="AN229" s="259"/>
      <c r="AO229" s="259"/>
    </row>
    <row r="230" spans="1:41" s="120" customFormat="1" ht="12.75" customHeight="1" x14ac:dyDescent="0.25">
      <c r="A230" s="131"/>
      <c r="B230" s="131"/>
      <c r="C230" s="131"/>
      <c r="D230" s="131"/>
      <c r="E230" s="131"/>
      <c r="H230" s="116">
        <f t="shared" si="104"/>
        <v>29</v>
      </c>
      <c r="I230" s="120" t="str">
        <f t="shared" si="105"/>
        <v>Krompir pozni</v>
      </c>
      <c r="J230" s="46"/>
      <c r="K230" s="46"/>
      <c r="L230" s="146"/>
      <c r="M230" s="260"/>
      <c r="N230" s="146"/>
      <c r="O230" s="287">
        <f>+O225/O206*1000</f>
        <v>250.27077446915408</v>
      </c>
      <c r="P230" s="273" t="s">
        <v>105</v>
      </c>
      <c r="Q230" s="287">
        <f>+Q225/Q206*1000</f>
        <v>214.10109751504567</v>
      </c>
      <c r="R230" s="287">
        <f t="shared" ref="R230:V230" si="125">+R225/R206*1000</f>
        <v>250.27077446915408</v>
      </c>
      <c r="S230" s="287">
        <f t="shared" si="125"/>
        <v>308.04352251680189</v>
      </c>
      <c r="T230" s="287">
        <f t="shared" si="125"/>
        <v>348.73685362142999</v>
      </c>
      <c r="U230" s="287">
        <f t="shared" si="125"/>
        <v>320.89924894848866</v>
      </c>
      <c r="V230" s="287">
        <f t="shared" si="125"/>
        <v>254.23529315914035</v>
      </c>
      <c r="W230" s="114"/>
      <c r="X230" s="146"/>
      <c r="Y230" s="146"/>
      <c r="Z230" s="146"/>
      <c r="AA230" s="146"/>
      <c r="AB230" s="146"/>
      <c r="AD230" s="259"/>
      <c r="AE230" s="259"/>
      <c r="AF230" s="259"/>
      <c r="AG230" s="259"/>
      <c r="AH230" s="259"/>
      <c r="AI230" s="259"/>
      <c r="AJ230" s="259"/>
      <c r="AK230" s="259"/>
      <c r="AL230" s="259"/>
      <c r="AM230" s="259"/>
      <c r="AN230" s="259"/>
      <c r="AO230" s="259"/>
    </row>
    <row r="231" spans="1:41" s="120" customFormat="1" ht="12" x14ac:dyDescent="0.25">
      <c r="A231" s="131"/>
      <c r="B231" s="131"/>
      <c r="C231" s="131"/>
      <c r="D231" s="131"/>
      <c r="E231" s="131"/>
      <c r="H231" s="116">
        <f t="shared" si="104"/>
        <v>30</v>
      </c>
      <c r="I231" s="120" t="str">
        <f t="shared" si="105"/>
        <v>Krompir pozni</v>
      </c>
      <c r="J231" s="46"/>
      <c r="K231" s="46"/>
      <c r="L231" s="146"/>
      <c r="M231" s="260"/>
      <c r="N231" s="146"/>
      <c r="O231" s="287">
        <f>+O230*O226/O225</f>
        <v>237.6271704538832</v>
      </c>
      <c r="P231" s="273" t="s">
        <v>104</v>
      </c>
      <c r="Q231" s="287">
        <f>+Q230*Q226/Q225</f>
        <v>202.4858225547309</v>
      </c>
      <c r="R231" s="287">
        <f t="shared" ref="R231:V231" si="126">+R230*R226/R225</f>
        <v>237.6271704538832</v>
      </c>
      <c r="S231" s="287">
        <f t="shared" si="126"/>
        <v>293.7422156190093</v>
      </c>
      <c r="T231" s="287">
        <f t="shared" si="126"/>
        <v>333.15076173975723</v>
      </c>
      <c r="U231" s="287">
        <f t="shared" si="126"/>
        <v>305.65983182480539</v>
      </c>
      <c r="V231" s="287">
        <f t="shared" si="126"/>
        <v>241.29922663324251</v>
      </c>
      <c r="W231" s="114"/>
      <c r="X231" s="146"/>
      <c r="Y231" s="146"/>
      <c r="Z231" s="146"/>
      <c r="AA231" s="146"/>
      <c r="AB231" s="146"/>
      <c r="AD231" s="259"/>
      <c r="AE231" s="259"/>
      <c r="AF231" s="259"/>
      <c r="AG231" s="259"/>
      <c r="AH231" s="259"/>
      <c r="AI231" s="259"/>
      <c r="AJ231" s="259"/>
      <c r="AK231" s="259"/>
      <c r="AL231" s="259"/>
      <c r="AM231" s="259"/>
      <c r="AN231" s="259"/>
      <c r="AO231" s="259"/>
    </row>
    <row r="232" spans="1:41" s="120" customFormat="1" ht="12" x14ac:dyDescent="0.25">
      <c r="A232" s="131"/>
      <c r="B232" s="131"/>
      <c r="C232" s="131"/>
      <c r="D232" s="131"/>
      <c r="E232" s="131"/>
      <c r="H232" s="116">
        <f t="shared" si="104"/>
        <v>31</v>
      </c>
      <c r="I232" s="120" t="str">
        <f t="shared" si="105"/>
        <v>Krompir pozni</v>
      </c>
      <c r="J232" s="46"/>
      <c r="K232" s="46"/>
      <c r="L232" s="146"/>
      <c r="M232" s="260"/>
      <c r="N232" s="146"/>
      <c r="O232" s="287">
        <f>+O230*O227/O225</f>
        <v>204.94905565032585</v>
      </c>
      <c r="P232" s="273" t="s">
        <v>103</v>
      </c>
      <c r="Q232" s="287">
        <f>+Q230*Q227/Q225</f>
        <v>172.46548277110486</v>
      </c>
      <c r="R232" s="287">
        <f t="shared" ref="R232:V232" si="127">+R230*R227/R225</f>
        <v>204.94905565032585</v>
      </c>
      <c r="S232" s="287">
        <f t="shared" si="127"/>
        <v>256.77967328673441</v>
      </c>
      <c r="T232" s="287">
        <f t="shared" si="127"/>
        <v>292.86761943057581</v>
      </c>
      <c r="U232" s="287">
        <f t="shared" si="127"/>
        <v>266.27269017551441</v>
      </c>
      <c r="V232" s="287">
        <f t="shared" si="127"/>
        <v>207.86522581123182</v>
      </c>
      <c r="W232" s="114"/>
      <c r="X232" s="146"/>
      <c r="Y232" s="146"/>
      <c r="Z232" s="146"/>
      <c r="AA232" s="146"/>
      <c r="AB232" s="146"/>
      <c r="AD232" s="259"/>
      <c r="AE232" s="259"/>
      <c r="AF232" s="259"/>
      <c r="AG232" s="259"/>
      <c r="AH232" s="259"/>
      <c r="AI232" s="259"/>
      <c r="AJ232" s="259"/>
      <c r="AK232" s="259"/>
      <c r="AL232" s="259"/>
      <c r="AM232" s="259"/>
      <c r="AN232" s="259"/>
      <c r="AO232" s="259"/>
    </row>
    <row r="233" spans="1:41" s="120" customFormat="1" ht="12" x14ac:dyDescent="0.25">
      <c r="A233" s="131"/>
      <c r="B233" s="131"/>
      <c r="C233" s="131"/>
      <c r="D233" s="131"/>
      <c r="E233" s="131"/>
      <c r="H233" s="116">
        <f t="shared" si="104"/>
        <v>32</v>
      </c>
      <c r="I233" s="120" t="str">
        <f t="shared" si="105"/>
        <v>Krompir pozni</v>
      </c>
      <c r="J233" s="46"/>
      <c r="K233" s="46"/>
      <c r="L233" s="146"/>
      <c r="M233" s="260"/>
      <c r="N233" s="146"/>
      <c r="O233" s="287">
        <f>+O230-O232</f>
        <v>45.321718818828231</v>
      </c>
      <c r="P233" s="273" t="s">
        <v>102</v>
      </c>
      <c r="Q233" s="287">
        <f>+Q230-Q232</f>
        <v>41.635614743940806</v>
      </c>
      <c r="R233" s="287">
        <f t="shared" ref="R233:V233" si="128">+R230-R232</f>
        <v>45.321718818828231</v>
      </c>
      <c r="S233" s="287">
        <f t="shared" si="128"/>
        <v>51.263849230067478</v>
      </c>
      <c r="T233" s="287">
        <f t="shared" si="128"/>
        <v>55.869234190854172</v>
      </c>
      <c r="U233" s="287">
        <f t="shared" si="128"/>
        <v>54.626558772974249</v>
      </c>
      <c r="V233" s="287">
        <f t="shared" si="128"/>
        <v>46.370067347908531</v>
      </c>
      <c r="W233" s="114"/>
      <c r="X233" s="146"/>
      <c r="Y233" s="146"/>
      <c r="Z233" s="146"/>
      <c r="AA233" s="146"/>
      <c r="AB233" s="146"/>
      <c r="AD233" s="259"/>
      <c r="AE233" s="259"/>
      <c r="AF233" s="259"/>
      <c r="AG233" s="259"/>
      <c r="AH233" s="259"/>
      <c r="AI233" s="259"/>
      <c r="AJ233" s="259"/>
      <c r="AK233" s="259"/>
      <c r="AL233" s="259"/>
      <c r="AM233" s="259"/>
      <c r="AN233" s="259"/>
      <c r="AO233" s="259"/>
    </row>
    <row r="234" spans="1:41" s="126" customFormat="1" ht="12" x14ac:dyDescent="0.25">
      <c r="A234" s="131"/>
      <c r="B234" s="131"/>
      <c r="C234" s="131"/>
      <c r="D234" s="131"/>
      <c r="E234" s="131"/>
      <c r="F234" s="120"/>
      <c r="H234" s="116">
        <f t="shared" si="104"/>
        <v>33</v>
      </c>
      <c r="I234" s="120" t="str">
        <f t="shared" si="105"/>
        <v>Krompir pozni</v>
      </c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114"/>
      <c r="X234" s="146"/>
      <c r="Y234" s="146"/>
      <c r="Z234" s="146"/>
      <c r="AA234" s="146"/>
      <c r="AB234" s="146"/>
      <c r="AD234" s="259"/>
      <c r="AE234" s="259"/>
      <c r="AF234" s="259"/>
      <c r="AG234" s="259"/>
      <c r="AH234" s="259"/>
      <c r="AI234" s="259"/>
      <c r="AJ234" s="259"/>
      <c r="AK234" s="259"/>
      <c r="AL234" s="259"/>
      <c r="AM234" s="259"/>
      <c r="AN234" s="259"/>
      <c r="AO234" s="259"/>
    </row>
    <row r="235" spans="1:41" s="120" customFormat="1" ht="12" x14ac:dyDescent="0.25">
      <c r="A235" s="131" t="s">
        <v>30</v>
      </c>
      <c r="B235" s="131"/>
      <c r="C235" s="131"/>
      <c r="D235" s="131"/>
      <c r="E235" s="131"/>
      <c r="F235" s="46">
        <v>1000</v>
      </c>
      <c r="H235" s="116">
        <f t="shared" si="104"/>
        <v>34</v>
      </c>
      <c r="I235" s="120" t="str">
        <f t="shared" si="105"/>
        <v>Krompir pozni</v>
      </c>
      <c r="J235" s="289" t="s">
        <v>101</v>
      </c>
      <c r="K235" s="46"/>
      <c r="L235" s="146"/>
      <c r="M235" s="260"/>
      <c r="N235" s="306"/>
      <c r="O235" s="290">
        <v>459</v>
      </c>
      <c r="P235" s="289" t="str">
        <f>P236</f>
        <v>Odkupna cena; vir podatkov SURS; preračuni KIS</v>
      </c>
      <c r="Q235" s="290">
        <v>458.99999999999989</v>
      </c>
      <c r="R235" s="290">
        <v>459</v>
      </c>
      <c r="S235" s="290">
        <v>458.99999999999994</v>
      </c>
      <c r="T235" s="290">
        <v>458.99999999999989</v>
      </c>
      <c r="U235" s="290">
        <v>458.99999999999994</v>
      </c>
      <c r="V235" s="290">
        <v>459</v>
      </c>
      <c r="W235" s="294"/>
      <c r="X235" s="257"/>
      <c r="Y235" s="257"/>
      <c r="Z235" s="257"/>
      <c r="AA235" s="257"/>
      <c r="AB235" s="257"/>
      <c r="AD235" s="259"/>
      <c r="AE235" s="259"/>
      <c r="AF235" s="259"/>
      <c r="AG235" s="259"/>
      <c r="AH235" s="259"/>
      <c r="AI235" s="259"/>
      <c r="AJ235" s="259"/>
      <c r="AK235" s="259"/>
      <c r="AL235" s="259"/>
      <c r="AM235" s="259"/>
      <c r="AN235" s="259"/>
      <c r="AO235" s="259"/>
    </row>
    <row r="236" spans="1:41" s="126" customFormat="1" ht="12" x14ac:dyDescent="0.25">
      <c r="A236" s="131"/>
      <c r="B236" s="131"/>
      <c r="C236" s="131"/>
      <c r="D236" s="131"/>
      <c r="E236" s="131"/>
      <c r="F236" s="120"/>
      <c r="H236" s="116">
        <f t="shared" si="104"/>
        <v>35</v>
      </c>
      <c r="I236" s="120" t="str">
        <f t="shared" si="105"/>
        <v>Krompir pozni</v>
      </c>
      <c r="J236" s="291" t="str">
        <f>+J199</f>
        <v>Bruto dodana vrednost</v>
      </c>
      <c r="K236" s="46"/>
      <c r="L236" s="257"/>
      <c r="M236" s="258"/>
      <c r="N236" s="257"/>
      <c r="O236" s="292">
        <f>O224+O223+O211-O209</f>
        <v>13138.575458242876</v>
      </c>
      <c r="P236" s="288" t="s">
        <v>101</v>
      </c>
      <c r="Q236" s="292">
        <f t="shared" ref="Q236:V236" si="129">Q224+Q223+Q211-Q209</f>
        <v>17701.402611667127</v>
      </c>
      <c r="R236" s="292">
        <f t="shared" si="129"/>
        <v>13138.575458242876</v>
      </c>
      <c r="S236" s="292">
        <f t="shared" si="129"/>
        <v>8629.6756927657116</v>
      </c>
      <c r="T236" s="292">
        <f t="shared" si="129"/>
        <v>6498.8480697559662</v>
      </c>
      <c r="U236" s="292">
        <f t="shared" si="129"/>
        <v>8538.7428818826666</v>
      </c>
      <c r="V236" s="292">
        <f t="shared" si="129"/>
        <v>13101.601709405648</v>
      </c>
      <c r="W236" s="114"/>
      <c r="X236" s="146"/>
      <c r="Y236" s="146"/>
      <c r="Z236" s="146"/>
      <c r="AA236" s="146"/>
      <c r="AB236" s="146"/>
      <c r="AD236" s="259"/>
      <c r="AE236" s="259"/>
      <c r="AF236" s="259"/>
      <c r="AG236" s="259"/>
      <c r="AH236" s="259"/>
      <c r="AI236" s="259"/>
      <c r="AJ236" s="259"/>
      <c r="AK236" s="259"/>
      <c r="AL236" s="259"/>
      <c r="AM236" s="259"/>
      <c r="AN236" s="259"/>
      <c r="AO236" s="259"/>
    </row>
    <row r="237" spans="1:41" s="120" customFormat="1" ht="12" x14ac:dyDescent="0.25">
      <c r="A237" s="196" t="s">
        <v>26</v>
      </c>
      <c r="B237" s="131"/>
      <c r="C237" s="131"/>
      <c r="D237" s="131"/>
      <c r="E237" s="131"/>
      <c r="G237" s="203"/>
      <c r="H237" s="116">
        <f t="shared" si="104"/>
        <v>36</v>
      </c>
      <c r="I237" s="120" t="str">
        <f t="shared" si="105"/>
        <v>Krompir pozni</v>
      </c>
      <c r="J237" s="275" t="s">
        <v>26</v>
      </c>
      <c r="K237" s="128"/>
      <c r="L237" s="146"/>
      <c r="M237" s="260"/>
      <c r="N237" s="146"/>
      <c r="O237" s="252">
        <v>634.86860371962518</v>
      </c>
      <c r="P237" s="124"/>
      <c r="Q237" s="252">
        <v>704.42166347039847</v>
      </c>
      <c r="R237" s="252">
        <v>634.86860371962518</v>
      </c>
      <c r="S237" s="252">
        <v>559.1180960252168</v>
      </c>
      <c r="T237" s="252">
        <v>517.43237742383485</v>
      </c>
      <c r="U237" s="252">
        <v>618.88834181376058</v>
      </c>
      <c r="V237" s="252">
        <v>658.98990650757673</v>
      </c>
      <c r="W237" s="294"/>
      <c r="X237" s="257"/>
      <c r="Y237" s="257"/>
      <c r="Z237" s="257"/>
      <c r="AA237" s="257"/>
      <c r="AB237" s="257"/>
      <c r="AD237" s="259"/>
      <c r="AE237" s="259"/>
      <c r="AF237" s="259"/>
      <c r="AG237" s="259"/>
      <c r="AH237" s="259"/>
      <c r="AI237" s="259"/>
      <c r="AJ237" s="259"/>
      <c r="AK237" s="259"/>
      <c r="AL237" s="259"/>
      <c r="AM237" s="259"/>
      <c r="AN237" s="259"/>
      <c r="AO237" s="259"/>
    </row>
    <row r="238" spans="1:41" s="120" customFormat="1" ht="12" x14ac:dyDescent="0.25">
      <c r="A238" s="131"/>
      <c r="B238" s="131"/>
      <c r="C238" s="131"/>
      <c r="D238" s="131"/>
      <c r="E238" s="131"/>
      <c r="G238" s="203"/>
      <c r="H238" s="116">
        <f t="shared" si="104"/>
        <v>37</v>
      </c>
      <c r="J238" s="46" t="s">
        <v>190</v>
      </c>
      <c r="K238" s="128"/>
      <c r="L238" s="146"/>
      <c r="M238" s="260"/>
      <c r="N238" s="146"/>
      <c r="O238" s="313">
        <f>+O236-O237</f>
        <v>12503.706854523251</v>
      </c>
      <c r="P238" s="260"/>
      <c r="Q238" s="313">
        <f t="shared" ref="Q238:V238" si="130">+Q236-Q237</f>
        <v>16996.980948196728</v>
      </c>
      <c r="R238" s="313">
        <f t="shared" si="130"/>
        <v>12503.706854523251</v>
      </c>
      <c r="S238" s="313">
        <f t="shared" si="130"/>
        <v>8070.5575967404948</v>
      </c>
      <c r="T238" s="313">
        <f t="shared" si="130"/>
        <v>5981.4156923321316</v>
      </c>
      <c r="U238" s="313">
        <f t="shared" si="130"/>
        <v>7919.8545400689063</v>
      </c>
      <c r="V238" s="313">
        <f t="shared" si="130"/>
        <v>12442.611802898071</v>
      </c>
      <c r="W238" s="114"/>
      <c r="X238" s="146"/>
      <c r="Y238" s="146"/>
      <c r="Z238" s="146"/>
      <c r="AA238" s="146"/>
      <c r="AB238" s="146"/>
      <c r="AD238" s="259"/>
      <c r="AE238" s="259"/>
      <c r="AF238" s="259"/>
      <c r="AG238" s="259"/>
      <c r="AH238" s="259"/>
      <c r="AI238" s="259"/>
      <c r="AJ238" s="259"/>
      <c r="AK238" s="259"/>
      <c r="AL238" s="259"/>
      <c r="AM238" s="259"/>
      <c r="AN238" s="259"/>
      <c r="AO238" s="259"/>
    </row>
    <row r="239" spans="1:41" s="120" customFormat="1" ht="12" x14ac:dyDescent="0.25">
      <c r="A239" s="131"/>
      <c r="B239" s="131"/>
      <c r="C239" s="131"/>
      <c r="D239" s="131"/>
      <c r="E239" s="131"/>
      <c r="F239" s="198"/>
      <c r="G239" s="198"/>
      <c r="H239" s="145">
        <f>1</f>
        <v>1</v>
      </c>
      <c r="I239" s="145" t="str">
        <f>+J241</f>
        <v>Jabolka namizna</v>
      </c>
      <c r="J239" s="144" t="s">
        <v>148</v>
      </c>
      <c r="K239" s="145"/>
      <c r="L239" s="145"/>
      <c r="M239" s="145"/>
      <c r="N239" s="145"/>
      <c r="O239" s="238">
        <f>O247-O259+O252-'2023'!E217</f>
        <v>4.4710000000000027E-3</v>
      </c>
      <c r="P239" s="145"/>
      <c r="Q239" s="238">
        <f>Q247-Q259+Q252-'2023'!H217</f>
        <v>2.9806666630287082E-3</v>
      </c>
      <c r="R239" s="238">
        <f>R247-R259+R252-'2023'!I217</f>
        <v>3.2516363599984222E-3</v>
      </c>
      <c r="S239" s="238">
        <f>S247-S259+S252-'2023'!J217</f>
        <v>3.9742222258601911E-3</v>
      </c>
      <c r="T239" s="238">
        <f>T247-T259+T252-'2023'!K217</f>
        <v>4.4710000000000027E-3</v>
      </c>
      <c r="U239" s="238">
        <f>U247-U259+U252-'2023'!L217</f>
        <v>5.109714285714273E-3</v>
      </c>
      <c r="V239" s="238"/>
      <c r="W239" s="145"/>
      <c r="X239" s="145"/>
      <c r="Y239" s="145"/>
      <c r="Z239" s="145"/>
      <c r="AA239" s="145"/>
      <c r="AB239" s="145"/>
      <c r="AD239" s="259"/>
      <c r="AE239" s="259"/>
      <c r="AF239" s="259"/>
      <c r="AG239" s="259"/>
      <c r="AH239" s="259"/>
      <c r="AI239" s="259"/>
      <c r="AJ239" s="259"/>
      <c r="AK239" s="259"/>
      <c r="AL239" s="259"/>
      <c r="AM239" s="259"/>
      <c r="AN239" s="259"/>
      <c r="AO239" s="259"/>
    </row>
    <row r="240" spans="1:41" s="120" customFormat="1" ht="12" x14ac:dyDescent="0.25">
      <c r="A240" s="131"/>
      <c r="B240" s="131"/>
      <c r="C240" s="131"/>
      <c r="D240" s="131"/>
      <c r="E240" s="131"/>
      <c r="F240" s="198"/>
      <c r="G240" s="198"/>
      <c r="H240" s="116">
        <f>H239+1</f>
        <v>2</v>
      </c>
      <c r="I240" s="120" t="str">
        <f>+I239</f>
        <v>Jabolka namizna</v>
      </c>
      <c r="J240" s="118" t="s">
        <v>149</v>
      </c>
      <c r="K240" s="119"/>
      <c r="L240" s="119"/>
      <c r="M240" s="241"/>
      <c r="N240" s="119"/>
      <c r="O240" s="297" t="e">
        <f>#REF!</f>
        <v>#REF!</v>
      </c>
      <c r="P240" s="297"/>
      <c r="Q240" s="242" t="s">
        <v>139</v>
      </c>
      <c r="R240" s="242" t="s">
        <v>140</v>
      </c>
      <c r="S240" s="242" t="s">
        <v>204</v>
      </c>
      <c r="T240" s="242" t="s">
        <v>138</v>
      </c>
      <c r="U240" s="242" t="s">
        <v>205</v>
      </c>
      <c r="V240" s="119"/>
      <c r="W240" s="119"/>
      <c r="X240" s="242"/>
      <c r="Y240" s="242"/>
      <c r="Z240" s="119"/>
      <c r="AA240" s="119"/>
      <c r="AB240" s="119"/>
      <c r="AD240" s="259"/>
      <c r="AE240" s="259"/>
      <c r="AF240" s="259"/>
      <c r="AG240" s="259"/>
      <c r="AH240" s="259"/>
      <c r="AI240" s="259"/>
      <c r="AJ240" s="259"/>
      <c r="AK240" s="259"/>
      <c r="AL240" s="259"/>
      <c r="AM240" s="259"/>
      <c r="AN240" s="259"/>
      <c r="AO240" s="259"/>
    </row>
    <row r="241" spans="1:41" s="120" customFormat="1" ht="12" x14ac:dyDescent="0.25">
      <c r="A241" s="131"/>
      <c r="B241" s="131"/>
      <c r="C241" s="131"/>
      <c r="D241" s="131"/>
      <c r="E241" s="131"/>
      <c r="F241" s="120" t="e">
        <f>#REF!</f>
        <v>#REF!</v>
      </c>
      <c r="G241" s="204"/>
      <c r="H241" s="116">
        <f t="shared" ref="H241:H275" si="131">H240+1</f>
        <v>3</v>
      </c>
      <c r="I241" s="120" t="str">
        <f>+I240</f>
        <v>Jabolka namizna</v>
      </c>
      <c r="J241" s="122" t="s">
        <v>265</v>
      </c>
      <c r="K241" s="46" t="str">
        <f>+K$56</f>
        <v>Enota</v>
      </c>
      <c r="L241" s="186"/>
      <c r="M241" s="243"/>
      <c r="N241" s="237"/>
      <c r="O241" s="191"/>
      <c r="P241" s="191"/>
      <c r="Q241" s="46"/>
      <c r="R241" s="46"/>
      <c r="S241" s="191">
        <v>2012</v>
      </c>
      <c r="T241" s="46"/>
      <c r="U241" s="191"/>
      <c r="X241" s="120" t="s">
        <v>92</v>
      </c>
      <c r="AD241" s="259"/>
      <c r="AE241" s="259"/>
      <c r="AF241" s="259"/>
      <c r="AG241" s="259"/>
      <c r="AH241" s="259"/>
      <c r="AI241" s="259"/>
      <c r="AJ241" s="259"/>
      <c r="AK241" s="259"/>
      <c r="AL241" s="259"/>
      <c r="AM241" s="259"/>
      <c r="AN241" s="259"/>
      <c r="AO241" s="259"/>
    </row>
    <row r="242" spans="1:41" s="120" customFormat="1" ht="12" x14ac:dyDescent="0.25">
      <c r="A242" s="131"/>
      <c r="B242" s="131"/>
      <c r="C242" s="131"/>
      <c r="D242" s="131"/>
      <c r="E242" s="131"/>
      <c r="G242" s="204"/>
      <c r="H242" s="116">
        <f t="shared" si="131"/>
        <v>4</v>
      </c>
      <c r="I242" s="120" t="str">
        <f>+I241</f>
        <v>Jabolka namizna</v>
      </c>
      <c r="J242" s="45" t="s">
        <v>84</v>
      </c>
      <c r="K242" s="46"/>
      <c r="L242" s="186"/>
      <c r="M242" s="243"/>
      <c r="N242" s="237"/>
      <c r="O242" s="191"/>
      <c r="P242" s="191"/>
      <c r="Q242" s="186" t="s">
        <v>83</v>
      </c>
      <c r="R242" s="186"/>
      <c r="S242" s="186" t="s">
        <v>85</v>
      </c>
      <c r="T242" s="186" t="s">
        <v>77</v>
      </c>
      <c r="U242" s="186"/>
      <c r="V242" s="186"/>
      <c r="W242" s="186"/>
      <c r="X242" s="237" t="s">
        <v>87</v>
      </c>
      <c r="Y242" s="186" t="s">
        <v>85</v>
      </c>
      <c r="Z242" s="186" t="s">
        <v>77</v>
      </c>
      <c r="AA242" s="186"/>
      <c r="AB242" s="186"/>
      <c r="AD242" s="259"/>
      <c r="AE242" s="259"/>
      <c r="AF242" s="259"/>
      <c r="AG242" s="259"/>
      <c r="AH242" s="259"/>
      <c r="AI242" s="259"/>
      <c r="AJ242" s="259"/>
      <c r="AK242" s="259"/>
      <c r="AL242" s="259"/>
      <c r="AM242" s="259"/>
      <c r="AN242" s="259"/>
      <c r="AO242" s="259"/>
    </row>
    <row r="243" spans="1:41" s="120" customFormat="1" ht="12" x14ac:dyDescent="0.25">
      <c r="A243" s="131" t="s">
        <v>22</v>
      </c>
      <c r="B243" s="131"/>
      <c r="C243" s="131"/>
      <c r="D243" s="131"/>
      <c r="E243" s="131"/>
      <c r="F243" s="46"/>
      <c r="G243" s="204"/>
      <c r="H243" s="116">
        <f t="shared" si="131"/>
        <v>5</v>
      </c>
      <c r="I243" s="120" t="str">
        <f>+I242</f>
        <v>Jabolka namizna</v>
      </c>
      <c r="J243" s="45" t="s">
        <v>21</v>
      </c>
      <c r="K243" s="46" t="s">
        <v>20</v>
      </c>
      <c r="L243" s="245"/>
      <c r="M243" s="298"/>
      <c r="N243" s="247"/>
      <c r="O243" s="252">
        <v>40000</v>
      </c>
      <c r="P243" s="46"/>
      <c r="Q243" s="252">
        <v>60000</v>
      </c>
      <c r="R243" s="252">
        <v>55000</v>
      </c>
      <c r="S243" s="252">
        <v>45000</v>
      </c>
      <c r="T243" s="252">
        <v>40000</v>
      </c>
      <c r="U243" s="252">
        <v>35000</v>
      </c>
      <c r="V243" s="252"/>
      <c r="W243" s="186"/>
      <c r="X243" s="240">
        <f>Q243/$T243*100</f>
        <v>150</v>
      </c>
      <c r="Y243" s="240">
        <f t="shared" ref="Y243" si="132">R243/$T243*100</f>
        <v>137.5</v>
      </c>
      <c r="Z243" s="240">
        <f t="shared" ref="Z243" si="133">S243/$T243*100</f>
        <v>112.5</v>
      </c>
      <c r="AA243" s="240">
        <f t="shared" ref="AA243" si="134">T243/$T243*100</f>
        <v>100</v>
      </c>
      <c r="AB243" s="240">
        <f t="shared" ref="AB243" si="135">U243/$T243*100</f>
        <v>87.5</v>
      </c>
      <c r="AD243" s="259"/>
      <c r="AE243" s="259"/>
      <c r="AF243" s="259"/>
      <c r="AG243" s="259"/>
      <c r="AH243" s="259"/>
      <c r="AI243" s="259"/>
      <c r="AJ243" s="259"/>
      <c r="AK243" s="259"/>
      <c r="AL243" s="259"/>
      <c r="AM243" s="259"/>
      <c r="AN243" s="259"/>
      <c r="AO243" s="259"/>
    </row>
    <row r="244" spans="1:41" s="120" customFormat="1" ht="12" x14ac:dyDescent="0.25">
      <c r="A244" s="131" t="s">
        <v>95</v>
      </c>
      <c r="B244" s="131"/>
      <c r="C244" s="131"/>
      <c r="D244" s="131"/>
      <c r="E244" s="131"/>
      <c r="F244" s="46"/>
      <c r="G244" s="204"/>
      <c r="H244" s="116">
        <f t="shared" si="131"/>
        <v>6</v>
      </c>
      <c r="J244" s="45"/>
      <c r="K244" s="46"/>
      <c r="L244" s="245"/>
      <c r="M244" s="298"/>
      <c r="N244" s="247"/>
      <c r="O244" s="245"/>
      <c r="P244" s="46"/>
      <c r="Q244" s="245"/>
      <c r="R244" s="245"/>
      <c r="S244" s="245"/>
      <c r="T244" s="245"/>
      <c r="U244" s="245"/>
      <c r="V244" s="245"/>
      <c r="W244" s="186"/>
      <c r="X244" s="186"/>
      <c r="Y244" s="186"/>
      <c r="Z244" s="186"/>
      <c r="AA244" s="186"/>
      <c r="AB244" s="186"/>
      <c r="AD244" s="259"/>
      <c r="AE244" s="259"/>
      <c r="AF244" s="259"/>
      <c r="AG244" s="259"/>
      <c r="AH244" s="259"/>
      <c r="AI244" s="259"/>
      <c r="AJ244" s="259"/>
      <c r="AK244" s="259"/>
      <c r="AL244" s="259"/>
      <c r="AM244" s="259"/>
      <c r="AN244" s="259"/>
      <c r="AO244" s="259"/>
    </row>
    <row r="245" spans="1:41" s="120" customFormat="1" ht="12" x14ac:dyDescent="0.25">
      <c r="A245" s="131" t="s">
        <v>91</v>
      </c>
      <c r="B245" s="131"/>
      <c r="C245" s="131"/>
      <c r="D245" s="131"/>
      <c r="E245" s="131"/>
      <c r="F245" s="46"/>
      <c r="G245" s="204"/>
      <c r="H245" s="116">
        <f t="shared" si="131"/>
        <v>7</v>
      </c>
      <c r="I245" s="120" t="str">
        <f>+I243</f>
        <v>Jabolka namizna</v>
      </c>
      <c r="J245" s="45" t="s">
        <v>90</v>
      </c>
      <c r="K245" s="46" t="s">
        <v>89</v>
      </c>
      <c r="L245" s="186"/>
      <c r="M245" s="243"/>
      <c r="N245" s="237"/>
      <c r="O245" s="251">
        <v>0.5</v>
      </c>
      <c r="P245" s="252"/>
      <c r="Q245" s="251">
        <v>0.5</v>
      </c>
      <c r="R245" s="251">
        <v>0.5</v>
      </c>
      <c r="S245" s="251">
        <v>0.5</v>
      </c>
      <c r="T245" s="251">
        <v>0.5</v>
      </c>
      <c r="U245" s="251">
        <v>0.5</v>
      </c>
      <c r="V245" s="252"/>
      <c r="W245" s="186"/>
      <c r="X245" s="240"/>
      <c r="Y245" s="240"/>
      <c r="Z245" s="240"/>
      <c r="AA245" s="240"/>
      <c r="AB245" s="240"/>
      <c r="AD245" s="259"/>
      <c r="AE245" s="259"/>
      <c r="AF245" s="259"/>
      <c r="AG245" s="259"/>
      <c r="AH245" s="259"/>
      <c r="AI245" s="259"/>
      <c r="AJ245" s="259"/>
      <c r="AK245" s="259"/>
      <c r="AL245" s="259"/>
      <c r="AM245" s="259"/>
      <c r="AN245" s="259"/>
      <c r="AO245" s="259"/>
    </row>
    <row r="246" spans="1:41" s="120" customFormat="1" ht="12" x14ac:dyDescent="0.25">
      <c r="A246" s="196" t="s">
        <v>27</v>
      </c>
      <c r="B246" s="131"/>
      <c r="C246" s="131"/>
      <c r="D246" s="131"/>
      <c r="E246" s="131"/>
      <c r="F246" s="46"/>
      <c r="G246" s="204"/>
      <c r="H246" s="116">
        <f t="shared" si="131"/>
        <v>8</v>
      </c>
      <c r="I246" s="120" t="str">
        <f>+I241</f>
        <v>Jabolka namizna</v>
      </c>
      <c r="J246" s="45" t="str">
        <f>+J$61</f>
        <v>Kupljen material in storitve</v>
      </c>
      <c r="K246" s="46"/>
      <c r="L246" s="46"/>
      <c r="M246" s="229"/>
      <c r="N246" s="46"/>
      <c r="O246" s="252">
        <v>9916.8385723787833</v>
      </c>
      <c r="P246" s="46"/>
      <c r="Q246" s="252">
        <v>12536.809732311038</v>
      </c>
      <c r="R246" s="252">
        <v>11953.256873577977</v>
      </c>
      <c r="S246" s="252">
        <v>10749.792681111845</v>
      </c>
      <c r="T246" s="252">
        <v>9916.8385723787833</v>
      </c>
      <c r="U246" s="252">
        <v>8908.4144467307488</v>
      </c>
      <c r="V246" s="252"/>
      <c r="W246" s="245"/>
      <c r="X246" s="240"/>
      <c r="Y246" s="240"/>
      <c r="Z246" s="240"/>
      <c r="AA246" s="240"/>
      <c r="AB246" s="240"/>
      <c r="AD246" s="259"/>
      <c r="AE246" s="259"/>
      <c r="AF246" s="259"/>
      <c r="AG246" s="259"/>
      <c r="AH246" s="259"/>
      <c r="AI246" s="259"/>
      <c r="AJ246" s="259"/>
      <c r="AK246" s="259"/>
      <c r="AL246" s="259"/>
      <c r="AM246" s="259"/>
      <c r="AN246" s="259"/>
      <c r="AO246" s="259"/>
    </row>
    <row r="247" spans="1:41" s="120" customFormat="1" ht="12" x14ac:dyDescent="0.25">
      <c r="A247" s="131" t="s">
        <v>6</v>
      </c>
      <c r="B247" s="131"/>
      <c r="C247" s="131"/>
      <c r="D247" s="131"/>
      <c r="E247" s="131"/>
      <c r="F247" s="46"/>
      <c r="G247" s="204"/>
      <c r="H247" s="116">
        <f t="shared" si="131"/>
        <v>9</v>
      </c>
      <c r="I247" s="120" t="str">
        <f t="shared" ref="I247:I260" si="136">+I246</f>
        <v>Jabolka namizna</v>
      </c>
      <c r="J247" s="45" t="str">
        <f>+J$62</f>
        <v>Stroški skupaj</v>
      </c>
      <c r="K247" s="46" t="str">
        <f>+K$62</f>
        <v>EUR/ha</v>
      </c>
      <c r="L247" s="125"/>
      <c r="M247" s="307"/>
      <c r="N247" s="124"/>
      <c r="O247" s="252">
        <v>23148.606050378447</v>
      </c>
      <c r="P247" s="124"/>
      <c r="Q247" s="252">
        <v>27542.514280368945</v>
      </c>
      <c r="R247" s="252">
        <v>26516.636986528538</v>
      </c>
      <c r="S247" s="252">
        <v>24427.941635100706</v>
      </c>
      <c r="T247" s="252">
        <v>23148.606050378447</v>
      </c>
      <c r="U247" s="252">
        <v>21576.269370514285</v>
      </c>
      <c r="V247" s="252"/>
      <c r="W247" s="249"/>
      <c r="X247" s="240">
        <f>Q247/$T247*100</f>
        <v>118.98130807716028</v>
      </c>
      <c r="Y247" s="240">
        <f t="shared" ref="Y247:AB247" si="137">R247/$T247*100</f>
        <v>114.54960583293969</v>
      </c>
      <c r="Z247" s="240">
        <f t="shared" si="137"/>
        <v>105.52662040184207</v>
      </c>
      <c r="AA247" s="240">
        <f t="shared" si="137"/>
        <v>100</v>
      </c>
      <c r="AB247" s="240">
        <f t="shared" si="137"/>
        <v>93.207639905218159</v>
      </c>
      <c r="AD247" s="259"/>
      <c r="AE247" s="259"/>
      <c r="AF247" s="259"/>
      <c r="AG247" s="259"/>
      <c r="AH247" s="259"/>
      <c r="AI247" s="259"/>
      <c r="AJ247" s="259"/>
      <c r="AK247" s="259"/>
      <c r="AL247" s="259"/>
      <c r="AM247" s="259"/>
      <c r="AN247" s="259"/>
      <c r="AO247" s="259"/>
    </row>
    <row r="248" spans="1:41" s="120" customFormat="1" ht="12" x14ac:dyDescent="0.25">
      <c r="A248" s="131" t="s">
        <v>5</v>
      </c>
      <c r="B248" s="131"/>
      <c r="C248" s="131"/>
      <c r="D248" s="131"/>
      <c r="E248" s="131"/>
      <c r="F248" s="46"/>
      <c r="G248" s="204"/>
      <c r="H248" s="116">
        <f t="shared" si="131"/>
        <v>10</v>
      </c>
      <c r="I248" s="120" t="str">
        <f t="shared" si="136"/>
        <v>Jabolka namizna</v>
      </c>
      <c r="J248" s="45" t="str">
        <f>+J$63</f>
        <v>Stranski pridelki</v>
      </c>
      <c r="K248" s="46" t="str">
        <f>+K$63</f>
        <v>EUR/ha</v>
      </c>
      <c r="L248" s="125"/>
      <c r="M248" s="307"/>
      <c r="N248" s="125"/>
      <c r="O248" s="252">
        <v>0</v>
      </c>
      <c r="P248" s="125"/>
      <c r="Q248" s="252">
        <v>0</v>
      </c>
      <c r="R248" s="252">
        <v>0</v>
      </c>
      <c r="S248" s="252">
        <v>0</v>
      </c>
      <c r="T248" s="252">
        <v>0</v>
      </c>
      <c r="U248" s="252">
        <v>0</v>
      </c>
      <c r="V248" s="252"/>
      <c r="W248" s="294"/>
      <c r="X248" s="240"/>
      <c r="Y248" s="240"/>
      <c r="Z248" s="240"/>
      <c r="AA248" s="240"/>
      <c r="AB248" s="240"/>
      <c r="AD248" s="259"/>
      <c r="AE248" s="259"/>
      <c r="AF248" s="259"/>
      <c r="AG248" s="259"/>
      <c r="AH248" s="259"/>
      <c r="AI248" s="259"/>
      <c r="AJ248" s="259"/>
      <c r="AK248" s="259"/>
      <c r="AL248" s="259"/>
      <c r="AM248" s="259"/>
      <c r="AN248" s="259"/>
      <c r="AO248" s="259"/>
    </row>
    <row r="249" spans="1:41" s="120" customFormat="1" ht="12" x14ac:dyDescent="0.25">
      <c r="A249" s="131"/>
      <c r="B249" s="131"/>
      <c r="C249" s="131"/>
      <c r="D249" s="131"/>
      <c r="E249" s="131"/>
      <c r="F249" s="46"/>
      <c r="G249" s="204"/>
      <c r="H249" s="116">
        <f t="shared" si="131"/>
        <v>11</v>
      </c>
      <c r="I249" s="120" t="str">
        <f t="shared" si="136"/>
        <v>Jabolka namizna</v>
      </c>
      <c r="J249" s="45" t="str">
        <f>+J$64</f>
        <v>Stroški glavnega pridelka</v>
      </c>
      <c r="K249" s="46" t="str">
        <f>+K$64</f>
        <v>EUR/ha</v>
      </c>
      <c r="L249" s="308"/>
      <c r="M249" s="307"/>
      <c r="N249" s="308"/>
      <c r="O249" s="262">
        <f>+O247-O248</f>
        <v>23148.606050378447</v>
      </c>
      <c r="P249" s="125"/>
      <c r="Q249" s="262">
        <f t="shared" ref="Q249:U249" si="138">+Q247-Q248</f>
        <v>27542.514280368945</v>
      </c>
      <c r="R249" s="262">
        <f t="shared" si="138"/>
        <v>26516.636986528538</v>
      </c>
      <c r="S249" s="262">
        <f t="shared" si="138"/>
        <v>24427.941635100706</v>
      </c>
      <c r="T249" s="262">
        <f t="shared" si="138"/>
        <v>23148.606050378447</v>
      </c>
      <c r="U249" s="262">
        <f t="shared" si="138"/>
        <v>21576.269370514285</v>
      </c>
      <c r="V249" s="262"/>
      <c r="W249" s="114"/>
      <c r="X249" s="240">
        <f t="shared" ref="X249:X260" si="139">Q249/$T249*100</f>
        <v>118.98130807716028</v>
      </c>
      <c r="Y249" s="240">
        <f t="shared" ref="Y249:Y260" si="140">R249/$T249*100</f>
        <v>114.54960583293969</v>
      </c>
      <c r="Z249" s="240">
        <f t="shared" ref="Z249:Z260" si="141">S249/$T249*100</f>
        <v>105.52662040184207</v>
      </c>
      <c r="AA249" s="240">
        <f t="shared" ref="AA249:AA260" si="142">T249/$T249*100</f>
        <v>100</v>
      </c>
      <c r="AB249" s="240">
        <f t="shared" ref="AB249:AB260" si="143">U249/$T249*100</f>
        <v>93.207639905218159</v>
      </c>
      <c r="AD249" s="259"/>
      <c r="AE249" s="259"/>
      <c r="AF249" s="259"/>
      <c r="AG249" s="259"/>
      <c r="AH249" s="259"/>
      <c r="AI249" s="259"/>
      <c r="AJ249" s="259"/>
      <c r="AK249" s="259"/>
      <c r="AL249" s="259"/>
      <c r="AM249" s="259"/>
      <c r="AN249" s="259"/>
      <c r="AO249" s="259"/>
    </row>
    <row r="250" spans="1:41" s="120" customFormat="1" ht="12" x14ac:dyDescent="0.25">
      <c r="A250" s="131" t="s">
        <v>4</v>
      </c>
      <c r="B250" s="131" t="s">
        <v>0</v>
      </c>
      <c r="C250" s="131" t="s">
        <v>2</v>
      </c>
      <c r="D250" s="131" t="s">
        <v>1</v>
      </c>
      <c r="E250" s="131" t="s">
        <v>0</v>
      </c>
      <c r="F250" s="46"/>
      <c r="G250" s="204"/>
      <c r="H250" s="116">
        <f t="shared" si="131"/>
        <v>12</v>
      </c>
      <c r="I250" s="120" t="str">
        <f t="shared" si="136"/>
        <v>Jabolka namizna</v>
      </c>
      <c r="J250" s="45" t="str">
        <f>+J$65</f>
        <v>Subvencije</v>
      </c>
      <c r="K250" s="46" t="str">
        <f>+K$65</f>
        <v>EUR/ha</v>
      </c>
      <c r="L250" s="125"/>
      <c r="M250" s="307"/>
      <c r="N250" s="125"/>
      <c r="O250" s="252">
        <v>23.94</v>
      </c>
      <c r="P250" s="125"/>
      <c r="Q250" s="252">
        <v>23.94</v>
      </c>
      <c r="R250" s="252">
        <v>23.94</v>
      </c>
      <c r="S250" s="252">
        <v>23.94</v>
      </c>
      <c r="T250" s="252">
        <v>23.94</v>
      </c>
      <c r="U250" s="252">
        <v>23.94</v>
      </c>
      <c r="V250" s="252"/>
      <c r="W250" s="114"/>
      <c r="X250" s="240">
        <f t="shared" si="139"/>
        <v>100</v>
      </c>
      <c r="Y250" s="240">
        <f t="shared" si="140"/>
        <v>100</v>
      </c>
      <c r="Z250" s="240">
        <f t="shared" si="141"/>
        <v>100</v>
      </c>
      <c r="AA250" s="240">
        <f t="shared" si="142"/>
        <v>100</v>
      </c>
      <c r="AB250" s="240">
        <f t="shared" si="143"/>
        <v>100</v>
      </c>
      <c r="AD250" s="259"/>
      <c r="AE250" s="259"/>
      <c r="AF250" s="259"/>
      <c r="AG250" s="259"/>
      <c r="AH250" s="259"/>
      <c r="AI250" s="259"/>
      <c r="AJ250" s="259"/>
      <c r="AK250" s="259"/>
      <c r="AL250" s="259"/>
      <c r="AM250" s="259"/>
      <c r="AN250" s="259"/>
      <c r="AO250" s="259"/>
    </row>
    <row r="251" spans="1:41" s="120" customFormat="1" ht="12" x14ac:dyDescent="0.25">
      <c r="A251" s="131"/>
      <c r="B251" s="131"/>
      <c r="C251" s="131" t="s">
        <v>13</v>
      </c>
      <c r="D251" s="131"/>
      <c r="E251" s="131"/>
      <c r="F251" s="46"/>
      <c r="G251" s="204"/>
      <c r="H251" s="116">
        <f t="shared" si="131"/>
        <v>13</v>
      </c>
      <c r="I251" s="120" t="str">
        <f t="shared" si="136"/>
        <v>Jabolka namizna</v>
      </c>
      <c r="J251" s="45" t="str">
        <f>+J$66</f>
        <v>Stroški, zmanjšani za subvencije</v>
      </c>
      <c r="K251" s="46" t="str">
        <f>+K$66</f>
        <v>EUR/ha</v>
      </c>
      <c r="L251" s="308"/>
      <c r="M251" s="307"/>
      <c r="N251" s="308"/>
      <c r="O251" s="264">
        <f>+O249-O250</f>
        <v>23124.666050378448</v>
      </c>
      <c r="P251" s="125"/>
      <c r="Q251" s="264">
        <f t="shared" ref="Q251:U251" si="144">+Q249-Q250</f>
        <v>27518.574280368946</v>
      </c>
      <c r="R251" s="264">
        <f t="shared" si="144"/>
        <v>26492.696986528539</v>
      </c>
      <c r="S251" s="264">
        <f t="shared" si="144"/>
        <v>24404.001635100707</v>
      </c>
      <c r="T251" s="264">
        <f t="shared" si="144"/>
        <v>23124.666050378448</v>
      </c>
      <c r="U251" s="264">
        <f t="shared" si="144"/>
        <v>21552.329370514286</v>
      </c>
      <c r="V251" s="264"/>
      <c r="W251" s="114"/>
      <c r="X251" s="240">
        <f t="shared" si="139"/>
        <v>119.00095863187002</v>
      </c>
      <c r="Y251" s="240">
        <f t="shared" si="140"/>
        <v>114.56466843159005</v>
      </c>
      <c r="Z251" s="240">
        <f t="shared" si="141"/>
        <v>105.53234188089529</v>
      </c>
      <c r="AA251" s="240">
        <f t="shared" si="142"/>
        <v>100</v>
      </c>
      <c r="AB251" s="240">
        <f t="shared" si="143"/>
        <v>93.200608058777007</v>
      </c>
      <c r="AD251" s="259"/>
      <c r="AE251" s="259"/>
      <c r="AF251" s="259"/>
      <c r="AG251" s="259"/>
      <c r="AH251" s="259"/>
      <c r="AI251" s="259"/>
      <c r="AJ251" s="259"/>
      <c r="AK251" s="259"/>
      <c r="AL251" s="259"/>
      <c r="AM251" s="259"/>
      <c r="AN251" s="259"/>
      <c r="AO251" s="259"/>
    </row>
    <row r="252" spans="1:41" s="120" customFormat="1" ht="12" x14ac:dyDescent="0.25">
      <c r="A252" s="131"/>
      <c r="B252" s="131"/>
      <c r="C252" s="131"/>
      <c r="D252" s="131"/>
      <c r="E252" s="131"/>
      <c r="F252" s="46"/>
      <c r="G252" s="204"/>
      <c r="H252" s="116">
        <f t="shared" si="131"/>
        <v>14</v>
      </c>
      <c r="I252" s="120" t="str">
        <f t="shared" si="136"/>
        <v>Jabolka namizna</v>
      </c>
      <c r="J252" s="45" t="str">
        <f>+J$67</f>
        <v>Stroški, zmanjšani za subvencije/kg</v>
      </c>
      <c r="K252" s="46" t="str">
        <f>+K$67</f>
        <v>EUR/kg</v>
      </c>
      <c r="L252" s="309"/>
      <c r="M252" s="310"/>
      <c r="N252" s="308"/>
      <c r="O252" s="270">
        <f>+O251/O243</f>
        <v>0.57811665125946121</v>
      </c>
      <c r="P252" s="311"/>
      <c r="Q252" s="270">
        <f t="shared" ref="Q252:U252" si="145">+Q251/Q243</f>
        <v>0.45864290467281577</v>
      </c>
      <c r="R252" s="270">
        <f t="shared" si="145"/>
        <v>0.48168539975506436</v>
      </c>
      <c r="S252" s="270">
        <f t="shared" si="145"/>
        <v>0.54231114744668241</v>
      </c>
      <c r="T252" s="270">
        <f t="shared" si="145"/>
        <v>0.57811665125946121</v>
      </c>
      <c r="U252" s="270">
        <f t="shared" si="145"/>
        <v>0.615780839157551</v>
      </c>
      <c r="V252" s="270"/>
      <c r="W252" s="114"/>
      <c r="X252" s="240">
        <f t="shared" si="139"/>
        <v>79.333972421246671</v>
      </c>
      <c r="Y252" s="240">
        <f t="shared" si="140"/>
        <v>83.319758859338222</v>
      </c>
      <c r="Z252" s="240">
        <f t="shared" si="141"/>
        <v>93.806526116351364</v>
      </c>
      <c r="AA252" s="240">
        <f t="shared" si="142"/>
        <v>100</v>
      </c>
      <c r="AB252" s="240">
        <f t="shared" si="143"/>
        <v>106.51498063860228</v>
      </c>
      <c r="AD252" s="259"/>
      <c r="AE252" s="259"/>
      <c r="AF252" s="259"/>
      <c r="AG252" s="259"/>
      <c r="AH252" s="259"/>
      <c r="AI252" s="259"/>
      <c r="AJ252" s="259"/>
      <c r="AK252" s="259"/>
      <c r="AL252" s="259"/>
      <c r="AM252" s="259"/>
      <c r="AN252" s="259"/>
      <c r="AO252" s="259"/>
    </row>
    <row r="253" spans="1:41" s="120" customFormat="1" ht="12" x14ac:dyDescent="0.25">
      <c r="A253" s="131" t="s">
        <v>169</v>
      </c>
      <c r="B253" s="131"/>
      <c r="C253" s="131"/>
      <c r="D253" s="131"/>
      <c r="E253" s="131"/>
      <c r="F253" s="46"/>
      <c r="G253" s="204"/>
      <c r="H253" s="116">
        <f t="shared" si="131"/>
        <v>15</v>
      </c>
      <c r="I253" s="120" t="str">
        <f t="shared" si="136"/>
        <v>Jabolka namizna</v>
      </c>
      <c r="J253" s="45" t="str">
        <f t="shared" ref="J253" si="146">+J216</f>
        <v>davek_a</v>
      </c>
      <c r="K253" s="46"/>
      <c r="L253" s="125"/>
      <c r="M253" s="307"/>
      <c r="N253" s="125"/>
      <c r="O253" s="117">
        <v>0</v>
      </c>
      <c r="P253" s="125"/>
      <c r="Q253" s="117">
        <v>0</v>
      </c>
      <c r="R253" s="117">
        <v>0</v>
      </c>
      <c r="S253" s="117">
        <v>0</v>
      </c>
      <c r="T253" s="117">
        <v>0</v>
      </c>
      <c r="U253" s="117">
        <v>0</v>
      </c>
      <c r="V253" s="117"/>
      <c r="W253" s="315"/>
      <c r="X253" s="240" t="e">
        <f t="shared" si="139"/>
        <v>#DIV/0!</v>
      </c>
      <c r="Y253" s="240" t="e">
        <f t="shared" si="140"/>
        <v>#DIV/0!</v>
      </c>
      <c r="Z253" s="240" t="e">
        <f t="shared" si="141"/>
        <v>#DIV/0!</v>
      </c>
      <c r="AA253" s="240" t="e">
        <f t="shared" si="142"/>
        <v>#DIV/0!</v>
      </c>
      <c r="AB253" s="240" t="e">
        <f t="shared" si="143"/>
        <v>#DIV/0!</v>
      </c>
      <c r="AD253" s="259"/>
      <c r="AE253" s="259"/>
      <c r="AF253" s="259"/>
      <c r="AG253" s="259"/>
      <c r="AH253" s="259"/>
      <c r="AI253" s="259"/>
      <c r="AJ253" s="259"/>
      <c r="AK253" s="259"/>
      <c r="AL253" s="259"/>
      <c r="AM253" s="259"/>
      <c r="AN253" s="259"/>
      <c r="AO253" s="259"/>
    </row>
    <row r="254" spans="1:41" s="120" customFormat="1" ht="12" x14ac:dyDescent="0.25">
      <c r="A254" s="46" t="s">
        <v>113</v>
      </c>
      <c r="B254" s="131"/>
      <c r="C254" s="131"/>
      <c r="D254" s="131"/>
      <c r="E254" s="131"/>
      <c r="F254" s="46"/>
      <c r="G254" s="204"/>
      <c r="H254" s="116">
        <f t="shared" si="131"/>
        <v>16</v>
      </c>
      <c r="I254" s="120" t="str">
        <f t="shared" si="136"/>
        <v>Jabolka namizna</v>
      </c>
      <c r="J254" s="45" t="str">
        <f t="shared" ref="J254:J259" si="147">+A254</f>
        <v>Pokoj obvezno</v>
      </c>
      <c r="K254" s="46"/>
      <c r="L254" s="125"/>
      <c r="M254" s="307"/>
      <c r="N254" s="125"/>
      <c r="O254" s="117">
        <v>664.92783693147396</v>
      </c>
      <c r="P254" s="125"/>
      <c r="Q254" s="117">
        <v>771.69004867661044</v>
      </c>
      <c r="R254" s="117">
        <v>744.9994957403261</v>
      </c>
      <c r="S254" s="117">
        <v>691.61838986775808</v>
      </c>
      <c r="T254" s="117">
        <v>664.92783693147396</v>
      </c>
      <c r="U254" s="117">
        <v>631.60844724623189</v>
      </c>
      <c r="V254" s="117"/>
      <c r="W254" s="114"/>
      <c r="X254" s="240">
        <f t="shared" si="139"/>
        <v>116.0562102855891</v>
      </c>
      <c r="Y254" s="240">
        <f t="shared" si="140"/>
        <v>112.04215771419179</v>
      </c>
      <c r="Z254" s="240">
        <f t="shared" si="141"/>
        <v>104.01405257139729</v>
      </c>
      <c r="AA254" s="240">
        <f t="shared" si="142"/>
        <v>100</v>
      </c>
      <c r="AB254" s="240">
        <f t="shared" si="143"/>
        <v>94.989021690082154</v>
      </c>
      <c r="AD254" s="259"/>
      <c r="AE254" s="259"/>
      <c r="AF254" s="259"/>
      <c r="AG254" s="259"/>
      <c r="AH254" s="259"/>
      <c r="AI254" s="259"/>
      <c r="AJ254" s="259"/>
      <c r="AK254" s="259"/>
      <c r="AL254" s="259"/>
      <c r="AM254" s="259"/>
      <c r="AN254" s="259"/>
      <c r="AO254" s="259"/>
    </row>
    <row r="255" spans="1:41" s="120" customFormat="1" ht="12" x14ac:dyDescent="0.25">
      <c r="A255" s="46" t="s">
        <v>112</v>
      </c>
      <c r="B255" s="131"/>
      <c r="C255" s="131"/>
      <c r="D255" s="131"/>
      <c r="E255" s="131"/>
      <c r="F255" s="46"/>
      <c r="G255" s="46"/>
      <c r="H255" s="116">
        <f t="shared" si="131"/>
        <v>17</v>
      </c>
      <c r="I255" s="120" t="str">
        <f t="shared" si="136"/>
        <v>Jabolka namizna</v>
      </c>
      <c r="J255" s="45" t="str">
        <f t="shared" si="147"/>
        <v>Zdrav obvezno</v>
      </c>
      <c r="K255" s="46"/>
      <c r="L255" s="124"/>
      <c r="M255" s="312"/>
      <c r="N255" s="124"/>
      <c r="O255" s="117">
        <v>304.15086218349347</v>
      </c>
      <c r="P255" s="124"/>
      <c r="Q255" s="117">
        <v>352.98596420110749</v>
      </c>
      <c r="R255" s="117">
        <v>340.77718869670394</v>
      </c>
      <c r="S255" s="117">
        <v>316.35963768789702</v>
      </c>
      <c r="T255" s="117">
        <v>304.15086218349347</v>
      </c>
      <c r="U255" s="117">
        <v>288.90992845005047</v>
      </c>
      <c r="V255" s="117"/>
      <c r="W255" s="114"/>
      <c r="X255" s="240">
        <f t="shared" si="139"/>
        <v>116.0562102855891</v>
      </c>
      <c r="Y255" s="240">
        <f t="shared" si="140"/>
        <v>112.04215771419182</v>
      </c>
      <c r="Z255" s="240">
        <f t="shared" si="141"/>
        <v>104.01405257139729</v>
      </c>
      <c r="AA255" s="240">
        <f t="shared" si="142"/>
        <v>100</v>
      </c>
      <c r="AB255" s="240">
        <f t="shared" si="143"/>
        <v>94.98902169008214</v>
      </c>
      <c r="AD255" s="259"/>
      <c r="AE255" s="259"/>
      <c r="AF255" s="259"/>
      <c r="AG255" s="259"/>
      <c r="AH255" s="259"/>
      <c r="AI255" s="259"/>
      <c r="AJ255" s="259"/>
      <c r="AK255" s="259"/>
      <c r="AL255" s="259"/>
      <c r="AM255" s="259"/>
      <c r="AN255" s="259"/>
      <c r="AO255" s="259"/>
    </row>
    <row r="256" spans="1:41" s="120" customFormat="1" ht="12" x14ac:dyDescent="0.25">
      <c r="A256" s="46" t="s">
        <v>111</v>
      </c>
      <c r="B256" s="131"/>
      <c r="C256" s="131"/>
      <c r="D256" s="131"/>
      <c r="E256" s="131"/>
      <c r="F256" s="46"/>
      <c r="G256" s="46"/>
      <c r="H256" s="116">
        <f t="shared" si="131"/>
        <v>18</v>
      </c>
      <c r="I256" s="120" t="str">
        <f t="shared" si="136"/>
        <v>Jabolka namizna</v>
      </c>
      <c r="J256" s="45" t="str">
        <f t="shared" si="147"/>
        <v>Pokoj dodatno</v>
      </c>
      <c r="K256" s="46"/>
      <c r="L256" s="125"/>
      <c r="M256" s="307"/>
      <c r="N256" s="125"/>
      <c r="O256" s="117">
        <v>561.8731576774112</v>
      </c>
      <c r="P256" s="125"/>
      <c r="Q256" s="117">
        <v>652.08869341237596</v>
      </c>
      <c r="R256" s="117">
        <v>629.53480947863466</v>
      </c>
      <c r="S256" s="117">
        <v>584.42704161115239</v>
      </c>
      <c r="T256" s="117">
        <v>561.8731576774112</v>
      </c>
      <c r="U256" s="117">
        <v>533.71781561694559</v>
      </c>
      <c r="V256" s="117"/>
      <c r="W256" s="294"/>
      <c r="X256" s="240">
        <f t="shared" si="139"/>
        <v>116.0562102855891</v>
      </c>
      <c r="Y256" s="240">
        <f t="shared" si="140"/>
        <v>112.04215771419182</v>
      </c>
      <c r="Z256" s="240">
        <f t="shared" si="141"/>
        <v>104.01405257139726</v>
      </c>
      <c r="AA256" s="240">
        <f t="shared" si="142"/>
        <v>100</v>
      </c>
      <c r="AB256" s="240">
        <f t="shared" si="143"/>
        <v>94.98902169008214</v>
      </c>
      <c r="AD256" s="259"/>
      <c r="AE256" s="259"/>
      <c r="AF256" s="259"/>
      <c r="AG256" s="259"/>
      <c r="AH256" s="259"/>
      <c r="AI256" s="259"/>
      <c r="AJ256" s="259"/>
      <c r="AK256" s="259"/>
      <c r="AL256" s="259"/>
      <c r="AM256" s="259"/>
      <c r="AN256" s="259"/>
      <c r="AO256" s="259"/>
    </row>
    <row r="257" spans="1:41" s="120" customFormat="1" ht="12" x14ac:dyDescent="0.25">
      <c r="A257" s="46" t="s">
        <v>110</v>
      </c>
      <c r="B257" s="131"/>
      <c r="C257" s="131"/>
      <c r="D257" s="131"/>
      <c r="E257" s="131"/>
      <c r="F257" s="46"/>
      <c r="G257" s="46"/>
      <c r="H257" s="116">
        <f t="shared" si="131"/>
        <v>19</v>
      </c>
      <c r="I257" s="120" t="str">
        <f t="shared" si="136"/>
        <v>Jabolka namizna</v>
      </c>
      <c r="J257" s="45" t="str">
        <f t="shared" si="147"/>
        <v>Zdrav dodatno</v>
      </c>
      <c r="K257" s="46"/>
      <c r="L257" s="124"/>
      <c r="M257" s="312"/>
      <c r="N257" s="124"/>
      <c r="O257" s="117">
        <v>257.01165728598988</v>
      </c>
      <c r="P257" s="124"/>
      <c r="Q257" s="117">
        <v>298.27798943830607</v>
      </c>
      <c r="R257" s="117">
        <v>287.96140640022702</v>
      </c>
      <c r="S257" s="117">
        <v>267.32824032406899</v>
      </c>
      <c r="T257" s="117">
        <v>257.01165728598988</v>
      </c>
      <c r="U257" s="117">
        <v>244.13285888542865</v>
      </c>
      <c r="V257" s="117"/>
      <c r="W257" s="114"/>
      <c r="X257" s="240">
        <f t="shared" si="139"/>
        <v>116.05621028558912</v>
      </c>
      <c r="Y257" s="240">
        <f t="shared" si="140"/>
        <v>112.04215771419183</v>
      </c>
      <c r="Z257" s="240">
        <f t="shared" si="141"/>
        <v>104.01405257139731</v>
      </c>
      <c r="AA257" s="240">
        <f t="shared" si="142"/>
        <v>100</v>
      </c>
      <c r="AB257" s="240">
        <f t="shared" si="143"/>
        <v>94.989021690082197</v>
      </c>
      <c r="AD257" s="259"/>
      <c r="AE257" s="259"/>
      <c r="AF257" s="259"/>
      <c r="AG257" s="259"/>
      <c r="AH257" s="259"/>
      <c r="AI257" s="259"/>
      <c r="AJ257" s="259"/>
      <c r="AK257" s="259"/>
      <c r="AL257" s="259"/>
      <c r="AM257" s="259"/>
      <c r="AN257" s="259"/>
      <c r="AO257" s="259"/>
    </row>
    <row r="258" spans="1:41" s="120" customFormat="1" ht="12" x14ac:dyDescent="0.25">
      <c r="A258" s="46" t="s">
        <v>109</v>
      </c>
      <c r="B258" s="131"/>
      <c r="C258" s="131"/>
      <c r="D258" s="131"/>
      <c r="E258" s="131"/>
      <c r="F258" s="46"/>
      <c r="G258" s="46"/>
      <c r="H258" s="116">
        <f t="shared" si="131"/>
        <v>20</v>
      </c>
      <c r="I258" s="120" t="str">
        <f t="shared" si="136"/>
        <v>Jabolka namizna</v>
      </c>
      <c r="J258" s="45" t="str">
        <f t="shared" si="147"/>
        <v>Regresi</v>
      </c>
      <c r="K258" s="46"/>
      <c r="L258" s="125"/>
      <c r="M258" s="307"/>
      <c r="N258" s="125"/>
      <c r="O258" s="117">
        <v>1685.7542851786759</v>
      </c>
      <c r="P258" s="125"/>
      <c r="Q258" s="117">
        <v>1956.4225381052931</v>
      </c>
      <c r="R258" s="117">
        <v>1888.7554748736388</v>
      </c>
      <c r="S258" s="117">
        <v>1753.4213484103302</v>
      </c>
      <c r="T258" s="117">
        <v>1685.7542851786759</v>
      </c>
      <c r="U258" s="117">
        <v>1601.2815035898616</v>
      </c>
      <c r="V258" s="117"/>
      <c r="W258" s="294"/>
      <c r="X258" s="240">
        <f t="shared" si="139"/>
        <v>116.05621028558907</v>
      </c>
      <c r="Y258" s="240">
        <f t="shared" si="140"/>
        <v>112.04215771419182</v>
      </c>
      <c r="Z258" s="240">
        <f t="shared" si="141"/>
        <v>104.01405257139726</v>
      </c>
      <c r="AA258" s="240">
        <f t="shared" si="142"/>
        <v>100</v>
      </c>
      <c r="AB258" s="240">
        <f t="shared" si="143"/>
        <v>94.98902169008214</v>
      </c>
      <c r="AD258" s="259"/>
      <c r="AE258" s="259"/>
      <c r="AF258" s="259"/>
      <c r="AG258" s="259"/>
      <c r="AH258" s="259"/>
      <c r="AI258" s="259"/>
      <c r="AJ258" s="259"/>
      <c r="AK258" s="259"/>
      <c r="AL258" s="259"/>
      <c r="AM258" s="259"/>
      <c r="AN258" s="259"/>
      <c r="AO258" s="259"/>
    </row>
    <row r="259" spans="1:41" s="120" customFormat="1" ht="12" x14ac:dyDescent="0.25">
      <c r="A259" s="131" t="s">
        <v>28</v>
      </c>
      <c r="B259" s="131"/>
      <c r="C259" s="131"/>
      <c r="D259" s="131"/>
      <c r="E259" s="131"/>
      <c r="F259" s="46"/>
      <c r="G259" s="46"/>
      <c r="H259" s="116">
        <f t="shared" si="131"/>
        <v>21</v>
      </c>
      <c r="I259" s="120" t="str">
        <f t="shared" si="136"/>
        <v>Jabolka namizna</v>
      </c>
      <c r="J259" s="45" t="str">
        <f t="shared" si="147"/>
        <v>SUM element</v>
      </c>
      <c r="K259" s="46"/>
      <c r="L259" s="146"/>
      <c r="M259" s="260"/>
      <c r="N259" s="146"/>
      <c r="O259" s="252">
        <v>23148.606050378447</v>
      </c>
      <c r="P259" s="263"/>
      <c r="Q259" s="252">
        <v>27542.514280368949</v>
      </c>
      <c r="R259" s="252">
        <v>26516.636986528541</v>
      </c>
      <c r="S259" s="252">
        <v>24427.941635100702</v>
      </c>
      <c r="T259" s="252">
        <v>23148.606050378447</v>
      </c>
      <c r="U259" s="252">
        <v>21576.269370514285</v>
      </c>
      <c r="V259" s="252"/>
      <c r="W259" s="294"/>
      <c r="X259" s="240">
        <f t="shared" si="139"/>
        <v>118.98130807716029</v>
      </c>
      <c r="Y259" s="240">
        <f t="shared" si="140"/>
        <v>114.54960583293969</v>
      </c>
      <c r="Z259" s="240">
        <f t="shared" si="141"/>
        <v>105.52662040184204</v>
      </c>
      <c r="AA259" s="240">
        <f t="shared" si="142"/>
        <v>100</v>
      </c>
      <c r="AB259" s="240">
        <f t="shared" si="143"/>
        <v>93.207639905218159</v>
      </c>
      <c r="AD259" s="259"/>
      <c r="AE259" s="259"/>
      <c r="AF259" s="259"/>
      <c r="AG259" s="259"/>
      <c r="AH259" s="259"/>
      <c r="AI259" s="259"/>
      <c r="AJ259" s="259"/>
      <c r="AK259" s="259"/>
      <c r="AL259" s="259"/>
      <c r="AM259" s="259"/>
      <c r="AN259" s="259"/>
      <c r="AO259" s="259"/>
    </row>
    <row r="260" spans="1:41" s="120" customFormat="1" ht="12" x14ac:dyDescent="0.25">
      <c r="A260" s="131" t="s">
        <v>4</v>
      </c>
      <c r="B260" s="131" t="s">
        <v>0</v>
      </c>
      <c r="C260" s="131" t="s">
        <v>2</v>
      </c>
      <c r="D260" s="131" t="s">
        <v>1</v>
      </c>
      <c r="E260" s="131" t="s">
        <v>0</v>
      </c>
      <c r="F260" s="46"/>
      <c r="G260" s="46"/>
      <c r="H260" s="116">
        <f t="shared" si="131"/>
        <v>22</v>
      </c>
      <c r="I260" s="120" t="str">
        <f t="shared" si="136"/>
        <v>Jabolka namizna</v>
      </c>
      <c r="J260" s="190" t="str">
        <f t="shared" ref="J260" si="148">+J223</f>
        <v>Subvencije</v>
      </c>
      <c r="K260" s="46"/>
      <c r="L260" s="146"/>
      <c r="M260" s="260"/>
      <c r="N260" s="146"/>
      <c r="O260" s="302">
        <v>23.94</v>
      </c>
      <c r="P260" s="303"/>
      <c r="Q260" s="302">
        <v>23.94</v>
      </c>
      <c r="R260" s="302">
        <v>23.94</v>
      </c>
      <c r="S260" s="302">
        <v>23.94</v>
      </c>
      <c r="T260" s="302">
        <v>23.94</v>
      </c>
      <c r="U260" s="302">
        <v>23.94</v>
      </c>
      <c r="V260" s="252"/>
      <c r="W260" s="294"/>
      <c r="X260" s="240">
        <f t="shared" si="139"/>
        <v>100</v>
      </c>
      <c r="Y260" s="240">
        <f t="shared" si="140"/>
        <v>100</v>
      </c>
      <c r="Z260" s="240">
        <f t="shared" si="141"/>
        <v>100</v>
      </c>
      <c r="AA260" s="240">
        <f t="shared" si="142"/>
        <v>100</v>
      </c>
      <c r="AB260" s="240">
        <f t="shared" si="143"/>
        <v>100</v>
      </c>
      <c r="AD260" s="259"/>
      <c r="AE260" s="259"/>
      <c r="AF260" s="259"/>
      <c r="AG260" s="259"/>
      <c r="AH260" s="259"/>
      <c r="AI260" s="259"/>
      <c r="AJ260" s="259"/>
      <c r="AK260" s="259"/>
      <c r="AL260" s="259"/>
      <c r="AM260" s="259"/>
      <c r="AN260" s="259"/>
      <c r="AO260" s="259"/>
    </row>
    <row r="261" spans="1:41" s="120" customFormat="1" ht="12.75" customHeight="1" x14ac:dyDescent="0.25">
      <c r="A261" s="196" t="s">
        <v>29</v>
      </c>
      <c r="B261" s="131"/>
      <c r="C261" s="131"/>
      <c r="D261" s="131"/>
      <c r="E261" s="131"/>
      <c r="F261" s="46"/>
      <c r="G261" s="46"/>
      <c r="H261" s="116">
        <f t="shared" si="131"/>
        <v>23</v>
      </c>
      <c r="J261" s="291" t="str">
        <f>+J224</f>
        <v>Vrednost pridelave_tržna</v>
      </c>
      <c r="K261" s="46"/>
      <c r="L261" s="146"/>
      <c r="M261" s="260"/>
      <c r="N261" s="146"/>
      <c r="O261" s="302">
        <v>25639.999999999996</v>
      </c>
      <c r="P261" s="303"/>
      <c r="Q261" s="302">
        <v>38459.999999999993</v>
      </c>
      <c r="R261" s="302">
        <v>35254.999999999993</v>
      </c>
      <c r="S261" s="302">
        <v>28844.999999999996</v>
      </c>
      <c r="T261" s="302">
        <v>25639.999999999996</v>
      </c>
      <c r="U261" s="302">
        <v>22434.999999999996</v>
      </c>
      <c r="V261" s="302"/>
      <c r="W261" s="294"/>
      <c r="X261" s="240"/>
      <c r="Y261" s="240"/>
      <c r="Z261" s="240"/>
      <c r="AA261" s="240"/>
      <c r="AB261" s="240"/>
      <c r="AD261" s="259"/>
      <c r="AE261" s="259"/>
      <c r="AF261" s="259"/>
      <c r="AG261" s="259"/>
      <c r="AH261" s="259"/>
      <c r="AI261" s="259"/>
      <c r="AJ261" s="259"/>
      <c r="AK261" s="259"/>
      <c r="AL261" s="259"/>
      <c r="AM261" s="259"/>
      <c r="AN261" s="259"/>
      <c r="AO261" s="259"/>
    </row>
    <row r="262" spans="1:41" s="120" customFormat="1" ht="12" x14ac:dyDescent="0.25">
      <c r="A262" s="131"/>
      <c r="B262" s="131"/>
      <c r="C262" s="131"/>
      <c r="D262" s="131"/>
      <c r="E262" s="131"/>
      <c r="F262" s="46"/>
      <c r="G262" s="133"/>
      <c r="H262" s="116">
        <f t="shared" si="131"/>
        <v>24</v>
      </c>
      <c r="J262" s="72"/>
      <c r="K262" s="128"/>
      <c r="L262" s="278"/>
      <c r="M262" s="279"/>
      <c r="N262" s="272"/>
      <c r="O262" s="280">
        <f>+O247-O260-O248</f>
        <v>23124.666050378448</v>
      </c>
      <c r="P262" s="146" t="s">
        <v>108</v>
      </c>
      <c r="Q262" s="280">
        <f t="shared" ref="Q262:U262" si="149">+Q247-Q260-Q248</f>
        <v>27518.574280368946</v>
      </c>
      <c r="R262" s="280">
        <f t="shared" si="149"/>
        <v>26492.696986528539</v>
      </c>
      <c r="S262" s="280">
        <f t="shared" si="149"/>
        <v>24404.001635100707</v>
      </c>
      <c r="T262" s="280">
        <f t="shared" si="149"/>
        <v>23124.666050378448</v>
      </c>
      <c r="U262" s="280">
        <f t="shared" si="149"/>
        <v>21552.329370514286</v>
      </c>
      <c r="V262" s="280"/>
      <c r="W262" s="294"/>
      <c r="X262" s="240"/>
      <c r="Y262" s="240"/>
      <c r="Z262" s="240"/>
      <c r="AA262" s="240"/>
      <c r="AB262" s="240"/>
      <c r="AD262" s="259"/>
      <c r="AE262" s="259"/>
      <c r="AF262" s="259"/>
      <c r="AG262" s="259"/>
      <c r="AH262" s="259"/>
      <c r="AI262" s="259"/>
      <c r="AJ262" s="259"/>
      <c r="AK262" s="259"/>
      <c r="AL262" s="259"/>
      <c r="AM262" s="259"/>
      <c r="AN262" s="259"/>
      <c r="AO262" s="259"/>
    </row>
    <row r="263" spans="1:41" s="120" customFormat="1" ht="12" x14ac:dyDescent="0.25">
      <c r="A263" s="131"/>
      <c r="B263" s="131"/>
      <c r="C263" s="131"/>
      <c r="D263" s="131"/>
      <c r="E263" s="131"/>
      <c r="F263" s="46"/>
      <c r="G263" s="128"/>
      <c r="H263" s="116">
        <f t="shared" si="131"/>
        <v>25</v>
      </c>
      <c r="J263" s="72"/>
      <c r="K263" s="128"/>
      <c r="L263" s="278"/>
      <c r="M263" s="279"/>
      <c r="N263" s="272"/>
      <c r="O263" s="280">
        <f>O262-O254-O255</f>
        <v>22155.587351263479</v>
      </c>
      <c r="P263" s="146" t="s">
        <v>107</v>
      </c>
      <c r="Q263" s="280">
        <f t="shared" ref="Q263:U263" si="150">Q262-Q254-Q255</f>
        <v>26393.898267491229</v>
      </c>
      <c r="R263" s="280">
        <f t="shared" si="150"/>
        <v>25406.920302091508</v>
      </c>
      <c r="S263" s="280">
        <f t="shared" si="150"/>
        <v>23396.023607545052</v>
      </c>
      <c r="T263" s="280">
        <f t="shared" si="150"/>
        <v>22155.587351263479</v>
      </c>
      <c r="U263" s="280">
        <f t="shared" si="150"/>
        <v>20631.810994818003</v>
      </c>
      <c r="V263" s="280"/>
      <c r="W263" s="304"/>
      <c r="X263" s="272"/>
      <c r="Y263" s="272"/>
      <c r="Z263" s="272"/>
      <c r="AA263" s="272"/>
      <c r="AB263" s="272"/>
      <c r="AD263" s="259"/>
      <c r="AE263" s="259"/>
      <c r="AF263" s="259"/>
      <c r="AG263" s="259"/>
      <c r="AH263" s="259"/>
      <c r="AI263" s="259"/>
      <c r="AJ263" s="259"/>
      <c r="AK263" s="259"/>
      <c r="AL263" s="259"/>
      <c r="AM263" s="259"/>
      <c r="AN263" s="259"/>
      <c r="AO263" s="259"/>
    </row>
    <row r="264" spans="1:41" s="120" customFormat="1" ht="12" x14ac:dyDescent="0.25">
      <c r="A264" s="131"/>
      <c r="B264" s="131"/>
      <c r="C264" s="131"/>
      <c r="D264" s="131"/>
      <c r="E264" s="131"/>
      <c r="F264" s="46"/>
      <c r="G264" s="45"/>
      <c r="H264" s="116">
        <f t="shared" si="131"/>
        <v>26</v>
      </c>
      <c r="J264" s="45"/>
      <c r="K264" s="46"/>
      <c r="L264" s="257"/>
      <c r="M264" s="258"/>
      <c r="N264" s="272"/>
      <c r="O264" s="280">
        <f>O263-O256-O257-O258</f>
        <v>19650.948251121401</v>
      </c>
      <c r="P264" s="146" t="s">
        <v>106</v>
      </c>
      <c r="Q264" s="280">
        <f t="shared" ref="Q264:U264" si="151">Q263-Q256-Q257-Q258</f>
        <v>23487.109046535254</v>
      </c>
      <c r="R264" s="280">
        <f t="shared" si="151"/>
        <v>22600.668611339006</v>
      </c>
      <c r="S264" s="280">
        <f t="shared" si="151"/>
        <v>20790.846977199497</v>
      </c>
      <c r="T264" s="280">
        <f t="shared" si="151"/>
        <v>19650.948251121401</v>
      </c>
      <c r="U264" s="280">
        <f t="shared" si="151"/>
        <v>18252.678816725766</v>
      </c>
      <c r="V264" s="280"/>
      <c r="W264" s="304"/>
      <c r="X264" s="272"/>
      <c r="Y264" s="272"/>
      <c r="Z264" s="272"/>
      <c r="AA264" s="272"/>
      <c r="AB264" s="272"/>
      <c r="AD264" s="259"/>
      <c r="AE264" s="259"/>
      <c r="AF264" s="259"/>
      <c r="AG264" s="259"/>
      <c r="AH264" s="259"/>
      <c r="AI264" s="259"/>
      <c r="AJ264" s="259"/>
      <c r="AK264" s="259"/>
      <c r="AL264" s="259"/>
      <c r="AM264" s="259"/>
      <c r="AN264" s="259"/>
      <c r="AO264" s="259"/>
    </row>
    <row r="265" spans="1:41" s="120" customFormat="1" ht="12" x14ac:dyDescent="0.25">
      <c r="A265" s="131"/>
      <c r="B265" s="131"/>
      <c r="C265" s="131"/>
      <c r="D265" s="131"/>
      <c r="E265" s="131"/>
      <c r="F265" s="46"/>
      <c r="G265" s="46"/>
      <c r="H265" s="116">
        <f t="shared" si="131"/>
        <v>27</v>
      </c>
      <c r="J265" s="46"/>
      <c r="K265" s="46"/>
      <c r="L265" s="146"/>
      <c r="M265" s="260"/>
      <c r="N265" s="146"/>
      <c r="O265" s="282"/>
      <c r="P265" s="277"/>
      <c r="Q265" s="282"/>
      <c r="R265" s="282"/>
      <c r="S265" s="282"/>
      <c r="T265" s="282"/>
      <c r="U265" s="282"/>
      <c r="V265" s="282"/>
      <c r="W265" s="304"/>
      <c r="X265" s="257"/>
      <c r="Y265" s="257"/>
      <c r="Z265" s="257"/>
      <c r="AA265" s="257"/>
      <c r="AB265" s="257"/>
      <c r="AD265" s="259"/>
      <c r="AE265" s="259"/>
      <c r="AF265" s="259"/>
      <c r="AG265" s="259"/>
      <c r="AH265" s="259"/>
      <c r="AI265" s="259"/>
      <c r="AJ265" s="259"/>
      <c r="AK265" s="259"/>
      <c r="AL265" s="259"/>
      <c r="AM265" s="259"/>
      <c r="AN265" s="259"/>
      <c r="AO265" s="259"/>
    </row>
    <row r="266" spans="1:41" s="120" customFormat="1" ht="12" x14ac:dyDescent="0.25">
      <c r="A266" s="131"/>
      <c r="B266" s="131"/>
      <c r="C266" s="131"/>
      <c r="D266" s="131"/>
      <c r="E266" s="131"/>
      <c r="F266" s="46"/>
      <c r="G266" s="46"/>
      <c r="H266" s="116">
        <f t="shared" si="131"/>
        <v>28</v>
      </c>
      <c r="J266" s="45"/>
      <c r="K266" s="46"/>
      <c r="L266" s="146"/>
      <c r="M266" s="260"/>
      <c r="N266" s="146"/>
      <c r="O266" s="285" t="str">
        <f>+O243&amp;";"&amp;O245</f>
        <v>40000;0,5</v>
      </c>
      <c r="P266" s="305"/>
      <c r="Q266" s="285" t="str">
        <f t="shared" ref="Q266:U266" si="152">+Q243&amp;";"&amp;Q245</f>
        <v>60000;0,5</v>
      </c>
      <c r="R266" s="285" t="str">
        <f t="shared" si="152"/>
        <v>55000;0,5</v>
      </c>
      <c r="S266" s="285" t="str">
        <f t="shared" si="152"/>
        <v>45000;0,5</v>
      </c>
      <c r="T266" s="285" t="str">
        <f t="shared" si="152"/>
        <v>40000;0,5</v>
      </c>
      <c r="U266" s="285" t="str">
        <f t="shared" si="152"/>
        <v>35000;0,5</v>
      </c>
      <c r="V266" s="285"/>
      <c r="W266" s="114"/>
      <c r="X266" s="146"/>
      <c r="Y266" s="146"/>
      <c r="Z266" s="146"/>
      <c r="AA266" s="146"/>
      <c r="AB266" s="146"/>
      <c r="AD266" s="259"/>
      <c r="AE266" s="259"/>
      <c r="AF266" s="259"/>
      <c r="AG266" s="259"/>
      <c r="AH266" s="259"/>
      <c r="AI266" s="259"/>
      <c r="AJ266" s="259"/>
      <c r="AK266" s="259"/>
      <c r="AL266" s="259"/>
      <c r="AM266" s="259"/>
      <c r="AN266" s="259"/>
      <c r="AO266" s="259"/>
    </row>
    <row r="267" spans="1:41" s="120" customFormat="1" ht="12.75" customHeight="1" x14ac:dyDescent="0.25">
      <c r="A267" s="131"/>
      <c r="B267" s="131"/>
      <c r="C267" s="131"/>
      <c r="D267" s="131"/>
      <c r="E267" s="131"/>
      <c r="F267" s="46"/>
      <c r="G267" s="46"/>
      <c r="H267" s="116">
        <f t="shared" si="131"/>
        <v>29</v>
      </c>
      <c r="J267" s="46"/>
      <c r="K267" s="46"/>
      <c r="L267" s="146"/>
      <c r="M267" s="260"/>
      <c r="N267" s="146"/>
      <c r="O267" s="287">
        <f>+O262/O243*1000</f>
        <v>578.11665125946126</v>
      </c>
      <c r="P267" s="273" t="s">
        <v>105</v>
      </c>
      <c r="Q267" s="287">
        <f t="shared" ref="Q267:U267" si="153">+Q262/Q243*1000</f>
        <v>458.64290467281575</v>
      </c>
      <c r="R267" s="287">
        <f t="shared" si="153"/>
        <v>481.68539975506434</v>
      </c>
      <c r="S267" s="287">
        <f t="shared" si="153"/>
        <v>542.31114744668241</v>
      </c>
      <c r="T267" s="287">
        <f t="shared" si="153"/>
        <v>578.11665125946126</v>
      </c>
      <c r="U267" s="287">
        <f t="shared" si="153"/>
        <v>615.78083915755099</v>
      </c>
      <c r="V267" s="287"/>
      <c r="W267" s="114"/>
      <c r="X267" s="146"/>
      <c r="Y267" s="146"/>
      <c r="Z267" s="146"/>
      <c r="AA267" s="146"/>
      <c r="AB267" s="146"/>
      <c r="AD267" s="259"/>
      <c r="AE267" s="259"/>
      <c r="AF267" s="259"/>
      <c r="AG267" s="259"/>
      <c r="AH267" s="259"/>
      <c r="AI267" s="259"/>
      <c r="AJ267" s="259"/>
      <c r="AK267" s="259"/>
      <c r="AL267" s="259"/>
      <c r="AM267" s="259"/>
      <c r="AN267" s="259"/>
      <c r="AO267" s="259"/>
    </row>
    <row r="268" spans="1:41" s="120" customFormat="1" ht="12" x14ac:dyDescent="0.25">
      <c r="A268" s="131"/>
      <c r="B268" s="131"/>
      <c r="C268" s="131"/>
      <c r="D268" s="131"/>
      <c r="E268" s="131"/>
      <c r="F268" s="46"/>
      <c r="G268" s="46"/>
      <c r="H268" s="116">
        <f t="shared" si="131"/>
        <v>30</v>
      </c>
      <c r="J268" s="46"/>
      <c r="K268" s="46"/>
      <c r="L268" s="146"/>
      <c r="M268" s="260"/>
      <c r="N268" s="146"/>
      <c r="O268" s="287">
        <f>+O267*O263/O262</f>
        <v>553.889683781587</v>
      </c>
      <c r="P268" s="273" t="s">
        <v>104</v>
      </c>
      <c r="Q268" s="287">
        <f t="shared" ref="Q268:U268" si="154">+Q267*Q263/Q262</f>
        <v>439.89830445818711</v>
      </c>
      <c r="R268" s="287">
        <f t="shared" si="154"/>
        <v>461.9440054925729</v>
      </c>
      <c r="S268" s="287">
        <f t="shared" si="154"/>
        <v>519.91163572322341</v>
      </c>
      <c r="T268" s="287">
        <f t="shared" si="154"/>
        <v>553.889683781587</v>
      </c>
      <c r="U268" s="287">
        <f t="shared" si="154"/>
        <v>589.48031413765716</v>
      </c>
      <c r="V268" s="287"/>
      <c r="W268" s="114"/>
      <c r="X268" s="146"/>
      <c r="Y268" s="146"/>
      <c r="Z268" s="146"/>
      <c r="AA268" s="146"/>
      <c r="AB268" s="146"/>
      <c r="AD268" s="259"/>
      <c r="AE268" s="259"/>
      <c r="AF268" s="259"/>
      <c r="AG268" s="259"/>
      <c r="AH268" s="259"/>
      <c r="AI268" s="259"/>
      <c r="AJ268" s="259"/>
      <c r="AK268" s="259"/>
      <c r="AL268" s="259"/>
      <c r="AM268" s="259"/>
      <c r="AN268" s="259"/>
      <c r="AO268" s="259"/>
    </row>
    <row r="269" spans="1:41" s="120" customFormat="1" ht="12" x14ac:dyDescent="0.25">
      <c r="A269" s="131"/>
      <c r="B269" s="131"/>
      <c r="C269" s="131"/>
      <c r="D269" s="131"/>
      <c r="E269" s="131"/>
      <c r="F269" s="46"/>
      <c r="G269" s="46"/>
      <c r="H269" s="116">
        <f t="shared" si="131"/>
        <v>31</v>
      </c>
      <c r="J269" s="46"/>
      <c r="K269" s="46"/>
      <c r="L269" s="146"/>
      <c r="M269" s="260"/>
      <c r="N269" s="146"/>
      <c r="O269" s="287">
        <f>+O267*O264/O262</f>
        <v>491.27370627803504</v>
      </c>
      <c r="P269" s="273" t="s">
        <v>103</v>
      </c>
      <c r="Q269" s="287">
        <f t="shared" ref="Q269:U269" si="155">+Q267*Q264/Q262</f>
        <v>391.45181744225425</v>
      </c>
      <c r="R269" s="287">
        <f t="shared" si="155"/>
        <v>410.92124747889102</v>
      </c>
      <c r="S269" s="287">
        <f t="shared" si="155"/>
        <v>462.01882171554445</v>
      </c>
      <c r="T269" s="287">
        <f t="shared" si="155"/>
        <v>491.27370627803504</v>
      </c>
      <c r="U269" s="287">
        <f t="shared" si="155"/>
        <v>521.50510904930752</v>
      </c>
      <c r="V269" s="287"/>
      <c r="W269" s="114"/>
      <c r="X269" s="146"/>
      <c r="Y269" s="146"/>
      <c r="Z269" s="146"/>
      <c r="AA269" s="146"/>
      <c r="AB269" s="146"/>
      <c r="AD269" s="259"/>
      <c r="AE269" s="259"/>
      <c r="AF269" s="259"/>
      <c r="AG269" s="259"/>
      <c r="AH269" s="259"/>
      <c r="AI269" s="259"/>
      <c r="AJ269" s="259"/>
      <c r="AK269" s="259"/>
      <c r="AL269" s="259"/>
      <c r="AM269" s="259"/>
      <c r="AN269" s="259"/>
      <c r="AO269" s="259"/>
    </row>
    <row r="270" spans="1:41" s="120" customFormat="1" ht="12" x14ac:dyDescent="0.25">
      <c r="A270" s="131"/>
      <c r="B270" s="131"/>
      <c r="C270" s="131"/>
      <c r="D270" s="131"/>
      <c r="E270" s="131"/>
      <c r="F270" s="46"/>
      <c r="G270" s="46"/>
      <c r="H270" s="116">
        <f t="shared" si="131"/>
        <v>32</v>
      </c>
      <c r="J270" s="46"/>
      <c r="K270" s="46"/>
      <c r="L270" s="146"/>
      <c r="M270" s="260"/>
      <c r="N270" s="146"/>
      <c r="O270" s="287">
        <f>+O267-O269</f>
        <v>86.842944981426228</v>
      </c>
      <c r="P270" s="273" t="s">
        <v>102</v>
      </c>
      <c r="Q270" s="287">
        <f t="shared" ref="Q270:U270" si="156">+Q267-Q269</f>
        <v>67.191087230561493</v>
      </c>
      <c r="R270" s="287">
        <f t="shared" si="156"/>
        <v>70.76415227617332</v>
      </c>
      <c r="S270" s="287">
        <f t="shared" si="156"/>
        <v>80.292325731137964</v>
      </c>
      <c r="T270" s="287">
        <f t="shared" si="156"/>
        <v>86.842944981426228</v>
      </c>
      <c r="U270" s="287">
        <f t="shared" si="156"/>
        <v>94.275730108243465</v>
      </c>
      <c r="V270" s="287"/>
      <c r="W270" s="114"/>
      <c r="X270" s="146"/>
      <c r="Y270" s="146"/>
      <c r="Z270" s="146"/>
      <c r="AA270" s="146"/>
      <c r="AB270" s="146"/>
      <c r="AD270" s="259"/>
      <c r="AE270" s="259"/>
      <c r="AF270" s="259"/>
      <c r="AG270" s="259"/>
      <c r="AH270" s="259"/>
      <c r="AI270" s="259"/>
      <c r="AJ270" s="259"/>
      <c r="AK270" s="259"/>
      <c r="AL270" s="259"/>
      <c r="AM270" s="259"/>
      <c r="AN270" s="259"/>
      <c r="AO270" s="259"/>
    </row>
    <row r="271" spans="1:41" s="120" customFormat="1" ht="12" x14ac:dyDescent="0.25">
      <c r="A271" s="131"/>
      <c r="B271" s="131"/>
      <c r="C271" s="131"/>
      <c r="D271" s="131"/>
      <c r="E271" s="131"/>
      <c r="F271" s="46"/>
      <c r="G271" s="45"/>
      <c r="H271" s="116">
        <f t="shared" si="131"/>
        <v>33</v>
      </c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114"/>
      <c r="X271" s="146"/>
      <c r="Y271" s="146"/>
      <c r="Z271" s="146"/>
      <c r="AA271" s="146"/>
      <c r="AB271" s="146"/>
      <c r="AD271" s="259"/>
      <c r="AE271" s="259"/>
      <c r="AF271" s="259"/>
      <c r="AG271" s="259"/>
      <c r="AH271" s="259"/>
      <c r="AI271" s="259"/>
      <c r="AJ271" s="259"/>
      <c r="AK271" s="259"/>
      <c r="AL271" s="259"/>
      <c r="AM271" s="259"/>
      <c r="AN271" s="259"/>
      <c r="AO271" s="259"/>
    </row>
    <row r="272" spans="1:41" s="120" customFormat="1" ht="12" x14ac:dyDescent="0.25">
      <c r="A272" s="131" t="s">
        <v>30</v>
      </c>
      <c r="B272" s="131"/>
      <c r="C272" s="131"/>
      <c r="D272" s="131"/>
      <c r="E272" s="131"/>
      <c r="F272" s="46">
        <v>1000</v>
      </c>
      <c r="G272" s="46"/>
      <c r="H272" s="116">
        <f t="shared" si="131"/>
        <v>34</v>
      </c>
      <c r="J272" s="289" t="s">
        <v>101</v>
      </c>
      <c r="K272" s="46"/>
      <c r="L272" s="146"/>
      <c r="M272" s="260"/>
      <c r="N272" s="306"/>
      <c r="O272" s="290">
        <v>640.99999999999989</v>
      </c>
      <c r="P272" s="289" t="str">
        <f>P273</f>
        <v>Odkupna cena; vir podatkov SURS; preračuni KIS</v>
      </c>
      <c r="Q272" s="290">
        <v>640.99999999999989</v>
      </c>
      <c r="R272" s="290">
        <v>640.99999999999989</v>
      </c>
      <c r="S272" s="290">
        <v>640.99999999999989</v>
      </c>
      <c r="T272" s="290">
        <v>640.99999999999989</v>
      </c>
      <c r="U272" s="290">
        <v>640.99999999999989</v>
      </c>
      <c r="V272" s="290"/>
      <c r="W272" s="294"/>
      <c r="X272" s="257"/>
      <c r="Y272" s="257"/>
      <c r="Z272" s="257"/>
      <c r="AA272" s="257"/>
      <c r="AB272" s="257"/>
      <c r="AD272" s="259"/>
      <c r="AE272" s="259"/>
      <c r="AF272" s="259"/>
      <c r="AG272" s="259"/>
      <c r="AH272" s="259"/>
      <c r="AI272" s="259"/>
      <c r="AJ272" s="259"/>
      <c r="AK272" s="259"/>
      <c r="AL272" s="259"/>
      <c r="AM272" s="259"/>
      <c r="AN272" s="259"/>
      <c r="AO272" s="259"/>
    </row>
    <row r="273" spans="1:41" s="120" customFormat="1" ht="12" x14ac:dyDescent="0.25">
      <c r="A273" s="131"/>
      <c r="B273" s="131"/>
      <c r="C273" s="131"/>
      <c r="D273" s="131"/>
      <c r="E273" s="131"/>
      <c r="F273" s="46"/>
      <c r="G273" s="45"/>
      <c r="H273" s="116">
        <f t="shared" si="131"/>
        <v>35</v>
      </c>
      <c r="J273" s="291" t="str">
        <f>+J236</f>
        <v>Bruto dodana vrednost</v>
      </c>
      <c r="K273" s="46"/>
      <c r="L273" s="257"/>
      <c r="M273" s="258"/>
      <c r="N273" s="257"/>
      <c r="O273" s="292">
        <f>O261+O260+O248-O246</f>
        <v>15747.101427621212</v>
      </c>
      <c r="P273" s="288" t="s">
        <v>101</v>
      </c>
      <c r="Q273" s="292">
        <f t="shared" ref="Q273:U273" si="157">Q261+Q260+Q248-Q246</f>
        <v>25947.130267688957</v>
      </c>
      <c r="R273" s="292">
        <f t="shared" si="157"/>
        <v>23325.683126422016</v>
      </c>
      <c r="S273" s="292">
        <f t="shared" si="157"/>
        <v>18119.14731888815</v>
      </c>
      <c r="T273" s="292">
        <f t="shared" si="157"/>
        <v>15747.101427621212</v>
      </c>
      <c r="U273" s="292">
        <f t="shared" si="157"/>
        <v>13550.525553269246</v>
      </c>
      <c r="V273" s="292"/>
      <c r="W273" s="114"/>
      <c r="X273" s="146"/>
      <c r="Y273" s="146"/>
      <c r="Z273" s="146"/>
      <c r="AA273" s="146"/>
      <c r="AB273" s="146"/>
      <c r="AD273" s="259"/>
      <c r="AE273" s="259"/>
      <c r="AF273" s="259"/>
      <c r="AG273" s="259"/>
      <c r="AH273" s="259"/>
      <c r="AI273" s="259"/>
      <c r="AJ273" s="259"/>
      <c r="AK273" s="259"/>
      <c r="AL273" s="259"/>
      <c r="AM273" s="259"/>
      <c r="AN273" s="259"/>
      <c r="AO273" s="259"/>
    </row>
    <row r="274" spans="1:41" s="120" customFormat="1" ht="12" x14ac:dyDescent="0.25">
      <c r="A274" s="196" t="s">
        <v>26</v>
      </c>
      <c r="B274" s="131"/>
      <c r="C274" s="131"/>
      <c r="D274" s="131"/>
      <c r="E274" s="131"/>
      <c r="F274" s="46"/>
      <c r="G274" s="146"/>
      <c r="H274" s="116">
        <f t="shared" si="131"/>
        <v>36</v>
      </c>
      <c r="J274" s="275" t="s">
        <v>26</v>
      </c>
      <c r="K274" s="128"/>
      <c r="L274" s="146"/>
      <c r="M274" s="260"/>
      <c r="N274" s="146"/>
      <c r="O274" s="117">
        <v>4519.4703217193783</v>
      </c>
      <c r="P274" s="124"/>
      <c r="Q274" s="117">
        <v>4991.7849973869797</v>
      </c>
      <c r="R274" s="117">
        <v>4873.7063284700798</v>
      </c>
      <c r="S274" s="117">
        <v>4637.5489906362791</v>
      </c>
      <c r="T274" s="117">
        <v>4519.4703217193783</v>
      </c>
      <c r="U274" s="117">
        <v>4368.6048564446737</v>
      </c>
      <c r="V274" s="252"/>
      <c r="W274" s="294"/>
      <c r="X274" s="257"/>
      <c r="Y274" s="257"/>
      <c r="Z274" s="257"/>
      <c r="AA274" s="257"/>
      <c r="AB274" s="257"/>
      <c r="AD274" s="259"/>
      <c r="AE274" s="259"/>
      <c r="AF274" s="259"/>
      <c r="AG274" s="259"/>
      <c r="AH274" s="259"/>
      <c r="AI274" s="259"/>
      <c r="AJ274" s="259"/>
      <c r="AK274" s="259"/>
      <c r="AL274" s="259"/>
      <c r="AM274" s="259"/>
      <c r="AN274" s="259"/>
      <c r="AO274" s="259"/>
    </row>
    <row r="275" spans="1:41" s="120" customFormat="1" ht="12" x14ac:dyDescent="0.25">
      <c r="A275" s="131"/>
      <c r="B275" s="131"/>
      <c r="C275" s="131"/>
      <c r="D275" s="131"/>
      <c r="E275" s="131"/>
      <c r="F275" s="46"/>
      <c r="G275" s="146"/>
      <c r="H275" s="116">
        <f t="shared" si="131"/>
        <v>37</v>
      </c>
      <c r="J275" s="46" t="s">
        <v>190</v>
      </c>
      <c r="K275" s="128"/>
      <c r="L275" s="146"/>
      <c r="M275" s="260"/>
      <c r="N275" s="146"/>
      <c r="O275" s="313">
        <f>+O273-O274</f>
        <v>11227.631105901834</v>
      </c>
      <c r="P275" s="124"/>
      <c r="Q275" s="313">
        <f t="shared" ref="Q275:U275" si="158">+Q273-Q274</f>
        <v>20955.345270301979</v>
      </c>
      <c r="R275" s="313">
        <f t="shared" si="158"/>
        <v>18451.976797951938</v>
      </c>
      <c r="S275" s="313">
        <f t="shared" si="158"/>
        <v>13481.598328251872</v>
      </c>
      <c r="T275" s="313">
        <f t="shared" si="158"/>
        <v>11227.631105901834</v>
      </c>
      <c r="U275" s="313">
        <f t="shared" si="158"/>
        <v>9181.9206968245726</v>
      </c>
      <c r="V275" s="252"/>
      <c r="W275" s="294"/>
      <c r="X275" s="257"/>
      <c r="Y275" s="257"/>
      <c r="Z275" s="257"/>
      <c r="AA275" s="257"/>
      <c r="AB275" s="257"/>
      <c r="AD275" s="259"/>
      <c r="AE275" s="259"/>
      <c r="AF275" s="259"/>
      <c r="AG275" s="259"/>
      <c r="AH275" s="259"/>
      <c r="AI275" s="259"/>
      <c r="AJ275" s="259"/>
      <c r="AK275" s="259"/>
      <c r="AL275" s="259"/>
      <c r="AM275" s="259"/>
      <c r="AN275" s="259"/>
      <c r="AO275" s="259"/>
    </row>
    <row r="276" spans="1:41" s="120" customFormat="1" ht="12" x14ac:dyDescent="0.25">
      <c r="A276" s="131"/>
      <c r="B276" s="131"/>
      <c r="C276" s="131"/>
      <c r="D276" s="131"/>
      <c r="E276" s="131"/>
      <c r="F276" s="46"/>
      <c r="G276" s="146"/>
      <c r="H276" s="145">
        <f>1</f>
        <v>1</v>
      </c>
      <c r="I276" s="145" t="str">
        <f>+J278</f>
        <v>Hruške namizne</v>
      </c>
      <c r="J276" s="144" t="s">
        <v>148</v>
      </c>
      <c r="K276" s="145"/>
      <c r="L276" s="145"/>
      <c r="M276" s="145"/>
      <c r="N276" s="145"/>
      <c r="O276" s="238">
        <f>O284-O296+O289-'2023'!E255</f>
        <v>7.1536000000000932E-3</v>
      </c>
      <c r="P276" s="145"/>
      <c r="Q276" s="238">
        <f>Q284-Q296+Q289-'2023'!H255</f>
        <v>4.4709999963620239E-3</v>
      </c>
      <c r="R276" s="238">
        <f>R284-R296+R289-'2023'!I255</f>
        <v>5.109714285714273E-3</v>
      </c>
      <c r="S276" s="238">
        <f>S284-S296+S289-'2023'!J255</f>
        <v>5.961333333333263E-3</v>
      </c>
      <c r="T276" s="238">
        <f>T284-T296+T289-'2023'!K255</f>
        <v>7.1536000000000932E-3</v>
      </c>
      <c r="U276" s="238">
        <f>U284-U296+U289-'2023'!L255</f>
        <v>8.9419999963620267E-3</v>
      </c>
      <c r="V276" s="238"/>
      <c r="W276" s="145"/>
      <c r="X276" s="145"/>
      <c r="Y276" s="145"/>
      <c r="Z276" s="145"/>
      <c r="AA276" s="145"/>
      <c r="AB276" s="198"/>
      <c r="AD276" s="259"/>
      <c r="AE276" s="259"/>
      <c r="AF276" s="259"/>
      <c r="AG276" s="259"/>
      <c r="AH276" s="259"/>
      <c r="AI276" s="259"/>
      <c r="AJ276" s="259"/>
      <c r="AK276" s="259"/>
      <c r="AL276" s="259"/>
      <c r="AM276" s="259"/>
      <c r="AN276" s="259"/>
      <c r="AO276" s="259"/>
    </row>
    <row r="277" spans="1:41" s="120" customFormat="1" ht="12" x14ac:dyDescent="0.25">
      <c r="A277" s="131"/>
      <c r="B277" s="131"/>
      <c r="C277" s="131"/>
      <c r="D277" s="131"/>
      <c r="E277" s="131"/>
      <c r="G277" s="146"/>
      <c r="H277" s="116">
        <f>H276+1</f>
        <v>2</v>
      </c>
      <c r="I277" s="120" t="str">
        <f>+I276</f>
        <v>Hruške namizne</v>
      </c>
      <c r="J277" s="118" t="s">
        <v>149</v>
      </c>
      <c r="K277" s="119"/>
      <c r="L277" s="119"/>
      <c r="M277" s="241"/>
      <c r="N277" s="119"/>
      <c r="O277" s="297" t="e">
        <f>#REF!</f>
        <v>#REF!</v>
      </c>
      <c r="P277" s="297"/>
      <c r="Q277" s="242" t="s">
        <v>137</v>
      </c>
      <c r="R277" s="242" t="s">
        <v>208</v>
      </c>
      <c r="S277" s="242" t="s">
        <v>209</v>
      </c>
      <c r="T277" s="242" t="s">
        <v>136</v>
      </c>
      <c r="U277" s="242" t="s">
        <v>210</v>
      </c>
      <c r="V277" s="119"/>
      <c r="W277" s="119"/>
      <c r="X277" s="242"/>
      <c r="Y277" s="242"/>
      <c r="Z277" s="119"/>
      <c r="AA277" s="119"/>
      <c r="AB277" s="198"/>
      <c r="AD277" s="259"/>
      <c r="AE277" s="259"/>
      <c r="AF277" s="259"/>
      <c r="AG277" s="259"/>
      <c r="AH277" s="259"/>
      <c r="AI277" s="259"/>
      <c r="AJ277" s="259"/>
      <c r="AK277" s="259"/>
      <c r="AL277" s="259"/>
      <c r="AM277" s="259"/>
      <c r="AN277" s="259"/>
      <c r="AO277" s="259"/>
    </row>
    <row r="278" spans="1:41" s="120" customFormat="1" ht="12" x14ac:dyDescent="0.25">
      <c r="A278" s="131"/>
      <c r="B278" s="131"/>
      <c r="C278" s="131"/>
      <c r="D278" s="131"/>
      <c r="E278" s="131"/>
      <c r="F278" s="200" t="e">
        <f>#REF!</f>
        <v>#REF!</v>
      </c>
      <c r="G278" s="146"/>
      <c r="H278" s="116">
        <f t="shared" ref="H278:H312" si="159">H277+1</f>
        <v>3</v>
      </c>
      <c r="I278" s="120" t="str">
        <f>+I277</f>
        <v>Hruške namizne</v>
      </c>
      <c r="J278" s="122" t="s">
        <v>266</v>
      </c>
      <c r="K278" s="46" t="str">
        <f>+K$56</f>
        <v>Enota</v>
      </c>
      <c r="L278" s="186"/>
      <c r="M278" s="243"/>
      <c r="N278" s="237"/>
      <c r="O278" s="191"/>
      <c r="P278" s="191"/>
      <c r="Q278" s="46"/>
      <c r="R278" s="46"/>
      <c r="S278" s="191">
        <v>2012</v>
      </c>
      <c r="T278" s="46"/>
      <c r="U278" s="191"/>
      <c r="X278" s="120" t="s">
        <v>217</v>
      </c>
      <c r="AD278" s="259"/>
      <c r="AE278" s="259"/>
      <c r="AF278" s="259"/>
      <c r="AG278" s="259"/>
      <c r="AH278" s="259"/>
      <c r="AI278" s="259"/>
      <c r="AJ278" s="259"/>
      <c r="AK278" s="259"/>
      <c r="AL278" s="259"/>
      <c r="AM278" s="259"/>
      <c r="AN278" s="259"/>
      <c r="AO278" s="259"/>
    </row>
    <row r="279" spans="1:41" s="120" customFormat="1" ht="12" x14ac:dyDescent="0.25">
      <c r="A279" s="131"/>
      <c r="B279" s="131"/>
      <c r="C279" s="131"/>
      <c r="D279" s="131"/>
      <c r="E279" s="131"/>
      <c r="F279" s="46"/>
      <c r="G279" s="146"/>
      <c r="H279" s="116">
        <f t="shared" si="159"/>
        <v>4</v>
      </c>
      <c r="I279" s="120" t="str">
        <f>+I278</f>
        <v>Hruške namizne</v>
      </c>
      <c r="J279" s="45" t="s">
        <v>84</v>
      </c>
      <c r="K279" s="46"/>
      <c r="L279" s="186"/>
      <c r="M279" s="243"/>
      <c r="N279" s="237"/>
      <c r="O279" s="191"/>
      <c r="P279" s="191"/>
      <c r="Q279" s="186" t="s">
        <v>87</v>
      </c>
      <c r="R279" s="186" t="s">
        <v>86</v>
      </c>
      <c r="S279" s="186" t="s">
        <v>85</v>
      </c>
      <c r="T279" s="186" t="s">
        <v>77</v>
      </c>
      <c r="U279" s="186" t="s">
        <v>97</v>
      </c>
      <c r="V279" s="186"/>
      <c r="W279" s="186"/>
      <c r="X279" s="237" t="str">
        <f>Q279</f>
        <v>M1</v>
      </c>
      <c r="Y279" s="186" t="str">
        <f>S279</f>
        <v>M3</v>
      </c>
      <c r="Z279" s="186"/>
      <c r="AA279" s="186"/>
      <c r="AD279" s="259"/>
      <c r="AE279" s="259"/>
      <c r="AF279" s="259"/>
      <c r="AG279" s="259"/>
      <c r="AH279" s="259"/>
      <c r="AI279" s="259"/>
      <c r="AJ279" s="259"/>
      <c r="AK279" s="259"/>
      <c r="AL279" s="259"/>
      <c r="AM279" s="259"/>
      <c r="AN279" s="259"/>
      <c r="AO279" s="259"/>
    </row>
    <row r="280" spans="1:41" s="120" customFormat="1" ht="12" x14ac:dyDescent="0.25">
      <c r="A280" s="131" t="s">
        <v>22</v>
      </c>
      <c r="B280" s="131"/>
      <c r="C280" s="131"/>
      <c r="D280" s="131"/>
      <c r="E280" s="131"/>
      <c r="F280" s="46"/>
      <c r="G280" s="146"/>
      <c r="H280" s="116">
        <f t="shared" si="159"/>
        <v>5</v>
      </c>
      <c r="I280" s="120" t="str">
        <f>+I279</f>
        <v>Hruške namizne</v>
      </c>
      <c r="J280" s="45" t="s">
        <v>21</v>
      </c>
      <c r="K280" s="46" t="s">
        <v>20</v>
      </c>
      <c r="L280" s="245"/>
      <c r="M280" s="298"/>
      <c r="N280" s="247"/>
      <c r="O280" s="252">
        <v>25000</v>
      </c>
      <c r="P280" s="46"/>
      <c r="Q280" s="252">
        <v>40000</v>
      </c>
      <c r="R280" s="252">
        <v>35000</v>
      </c>
      <c r="S280" s="252">
        <v>30000</v>
      </c>
      <c r="T280" s="252">
        <v>25000</v>
      </c>
      <c r="U280" s="252">
        <v>20000</v>
      </c>
      <c r="V280" s="252"/>
      <c r="W280" s="186"/>
      <c r="X280" s="240">
        <f>Q280/$T280*100</f>
        <v>160</v>
      </c>
      <c r="Y280" s="240">
        <f t="shared" ref="Y280:AB280" si="160">R280/$T280*100</f>
        <v>140</v>
      </c>
      <c r="Z280" s="240">
        <f t="shared" si="160"/>
        <v>120</v>
      </c>
      <c r="AA280" s="240">
        <f t="shared" si="160"/>
        <v>100</v>
      </c>
      <c r="AB280" s="240">
        <f t="shared" si="160"/>
        <v>80</v>
      </c>
      <c r="AD280" s="259"/>
      <c r="AE280" s="259"/>
      <c r="AF280" s="259"/>
      <c r="AG280" s="259"/>
      <c r="AH280" s="259"/>
      <c r="AI280" s="259"/>
      <c r="AJ280" s="259"/>
      <c r="AK280" s="259"/>
      <c r="AL280" s="259"/>
      <c r="AM280" s="259"/>
      <c r="AN280" s="259"/>
      <c r="AO280" s="259"/>
    </row>
    <row r="281" spans="1:41" s="120" customFormat="1" ht="12" x14ac:dyDescent="0.25">
      <c r="A281" s="131" t="s">
        <v>95</v>
      </c>
      <c r="B281" s="131"/>
      <c r="C281" s="131"/>
      <c r="D281" s="131"/>
      <c r="E281" s="131"/>
      <c r="F281" s="46"/>
      <c r="G281" s="146"/>
      <c r="H281" s="116">
        <f t="shared" si="159"/>
        <v>6</v>
      </c>
      <c r="J281" s="45"/>
      <c r="K281" s="46"/>
      <c r="L281" s="245"/>
      <c r="M281" s="298"/>
      <c r="N281" s="247"/>
      <c r="O281" s="245"/>
      <c r="P281" s="46"/>
      <c r="Q281" s="245"/>
      <c r="R281" s="245"/>
      <c r="S281" s="245"/>
      <c r="T281" s="245"/>
      <c r="U281" s="245"/>
      <c r="V281" s="245"/>
      <c r="W281" s="186"/>
      <c r="X281" s="186"/>
      <c r="Y281" s="186"/>
      <c r="Z281" s="186"/>
      <c r="AA281" s="186"/>
      <c r="AD281" s="259"/>
      <c r="AE281" s="259"/>
      <c r="AF281" s="259"/>
      <c r="AG281" s="259"/>
      <c r="AH281" s="259"/>
      <c r="AI281" s="259"/>
      <c r="AJ281" s="259"/>
      <c r="AK281" s="259"/>
      <c r="AL281" s="259"/>
      <c r="AM281" s="259"/>
      <c r="AN281" s="259"/>
      <c r="AO281" s="259"/>
    </row>
    <row r="282" spans="1:41" s="120" customFormat="1" ht="12" x14ac:dyDescent="0.25">
      <c r="A282" s="131" t="s">
        <v>91</v>
      </c>
      <c r="B282" s="131"/>
      <c r="C282" s="131"/>
      <c r="D282" s="131"/>
      <c r="E282" s="131"/>
      <c r="F282" s="46"/>
      <c r="G282" s="146"/>
      <c r="H282" s="116">
        <f t="shared" si="159"/>
        <v>7</v>
      </c>
      <c r="I282" s="120" t="str">
        <f>+I280</f>
        <v>Hruške namizne</v>
      </c>
      <c r="J282" s="45" t="s">
        <v>90</v>
      </c>
      <c r="K282" s="46" t="s">
        <v>89</v>
      </c>
      <c r="L282" s="186"/>
      <c r="M282" s="243"/>
      <c r="N282" s="237"/>
      <c r="O282" s="251">
        <v>0.5</v>
      </c>
      <c r="P282" s="252"/>
      <c r="Q282" s="251">
        <v>0.5</v>
      </c>
      <c r="R282" s="251">
        <v>0.5</v>
      </c>
      <c r="S282" s="251">
        <v>0.5</v>
      </c>
      <c r="T282" s="251">
        <v>0.5</v>
      </c>
      <c r="U282" s="251">
        <v>0.5</v>
      </c>
      <c r="V282" s="252"/>
      <c r="W282" s="186"/>
      <c r="X282" s="240"/>
      <c r="Y282" s="240"/>
      <c r="Z282" s="240"/>
      <c r="AA282" s="240"/>
      <c r="AD282" s="259"/>
      <c r="AE282" s="259"/>
      <c r="AF282" s="259"/>
      <c r="AG282" s="259"/>
      <c r="AH282" s="259"/>
      <c r="AI282" s="259"/>
      <c r="AJ282" s="259"/>
      <c r="AK282" s="259"/>
      <c r="AL282" s="259"/>
      <c r="AM282" s="259"/>
      <c r="AN282" s="259"/>
      <c r="AO282" s="259"/>
    </row>
    <row r="283" spans="1:41" s="120" customFormat="1" ht="12" x14ac:dyDescent="0.25">
      <c r="A283" s="196" t="s">
        <v>27</v>
      </c>
      <c r="B283" s="131"/>
      <c r="C283" s="131"/>
      <c r="D283" s="131"/>
      <c r="E283" s="131"/>
      <c r="F283" s="46"/>
      <c r="G283" s="146"/>
      <c r="H283" s="116">
        <f t="shared" si="159"/>
        <v>8</v>
      </c>
      <c r="I283" s="120" t="str">
        <f t="shared" ref="I283:I298" si="161">+I282</f>
        <v>Hruške namizne</v>
      </c>
      <c r="J283" s="45" t="str">
        <f>+J$61</f>
        <v>Kupljen material in storitve</v>
      </c>
      <c r="K283" s="46"/>
      <c r="L283" s="46"/>
      <c r="M283" s="229"/>
      <c r="N283" s="46"/>
      <c r="O283" s="252">
        <v>7624.3981102238668</v>
      </c>
      <c r="P283" s="46"/>
      <c r="Q283" s="252">
        <v>10320.520858680546</v>
      </c>
      <c r="R283" s="252">
        <v>9664.9679999474774</v>
      </c>
      <c r="S283" s="252">
        <v>8697.9498465569304</v>
      </c>
      <c r="T283" s="252">
        <v>7624.3981102238668</v>
      </c>
      <c r="U283" s="252">
        <v>6350.4408810908035</v>
      </c>
      <c r="V283" s="252"/>
      <c r="W283" s="245"/>
      <c r="X283" s="240">
        <f t="shared" ref="X283:X296" si="162">Q283/$T283*100</f>
        <v>135.36177819520387</v>
      </c>
      <c r="Y283" s="240">
        <f t="shared" ref="Y283:Y296" si="163">R283/$T283*100</f>
        <v>126.76368495222367</v>
      </c>
      <c r="Z283" s="240">
        <f t="shared" ref="Z283:Z296" si="164">S283/$T283*100</f>
        <v>114.08047849565324</v>
      </c>
      <c r="AA283" s="240">
        <f t="shared" ref="AA283:AA296" si="165">T283/$T283*100</f>
        <v>100</v>
      </c>
      <c r="AB283" s="240">
        <f t="shared" ref="AB283:AB296" si="166">U283/$T283*100</f>
        <v>83.291045263956491</v>
      </c>
      <c r="AD283" s="259"/>
      <c r="AE283" s="259"/>
      <c r="AF283" s="259"/>
      <c r="AG283" s="259"/>
      <c r="AH283" s="259"/>
      <c r="AI283" s="259"/>
      <c r="AJ283" s="259"/>
      <c r="AK283" s="259"/>
      <c r="AL283" s="259"/>
      <c r="AM283" s="259"/>
      <c r="AN283" s="259"/>
      <c r="AO283" s="259"/>
    </row>
    <row r="284" spans="1:41" s="120" customFormat="1" ht="12" x14ac:dyDescent="0.25">
      <c r="A284" s="131" t="s">
        <v>6</v>
      </c>
      <c r="B284" s="131"/>
      <c r="C284" s="131"/>
      <c r="D284" s="131"/>
      <c r="E284" s="131"/>
      <c r="F284" s="46"/>
      <c r="G284" s="146"/>
      <c r="H284" s="116">
        <f t="shared" si="159"/>
        <v>9</v>
      </c>
      <c r="I284" s="120" t="str">
        <f t="shared" si="161"/>
        <v>Hruške namizne</v>
      </c>
      <c r="J284" s="45" t="str">
        <f>+J$62</f>
        <v>Stroški skupaj</v>
      </c>
      <c r="K284" s="46" t="str">
        <f>+K$62</f>
        <v>EUR/ha</v>
      </c>
      <c r="L284" s="125"/>
      <c r="M284" s="307"/>
      <c r="N284" s="124"/>
      <c r="O284" s="252">
        <v>17946.111864250797</v>
      </c>
      <c r="P284" s="124"/>
      <c r="Q284" s="252">
        <v>22119.08399018451</v>
      </c>
      <c r="R284" s="252">
        <v>20993.948527040728</v>
      </c>
      <c r="S284" s="252">
        <v>19495.178204207583</v>
      </c>
      <c r="T284" s="252">
        <v>17946.111864250797</v>
      </c>
      <c r="U284" s="252">
        <v>16194.162585522481</v>
      </c>
      <c r="V284" s="252"/>
      <c r="W284" s="249"/>
      <c r="X284" s="240">
        <f t="shared" si="162"/>
        <v>123.25279234576934</v>
      </c>
      <c r="Y284" s="240">
        <f t="shared" si="163"/>
        <v>116.98327016929674</v>
      </c>
      <c r="Z284" s="240">
        <f t="shared" si="164"/>
        <v>108.63176576449729</v>
      </c>
      <c r="AA284" s="240">
        <f t="shared" si="165"/>
        <v>100</v>
      </c>
      <c r="AB284" s="240">
        <f t="shared" si="166"/>
        <v>90.237722287810698</v>
      </c>
      <c r="AD284" s="259"/>
      <c r="AE284" s="259"/>
      <c r="AF284" s="259"/>
      <c r="AG284" s="259"/>
      <c r="AH284" s="259"/>
      <c r="AI284" s="259"/>
      <c r="AJ284" s="259"/>
      <c r="AK284" s="259"/>
      <c r="AL284" s="259"/>
      <c r="AM284" s="259"/>
      <c r="AN284" s="259"/>
      <c r="AO284" s="259"/>
    </row>
    <row r="285" spans="1:41" s="120" customFormat="1" ht="12" x14ac:dyDescent="0.25">
      <c r="A285" s="131" t="s">
        <v>5</v>
      </c>
      <c r="B285" s="131"/>
      <c r="C285" s="131"/>
      <c r="D285" s="131"/>
      <c r="E285" s="131"/>
      <c r="F285" s="46"/>
      <c r="G285" s="146"/>
      <c r="H285" s="116">
        <f t="shared" si="159"/>
        <v>10</v>
      </c>
      <c r="I285" s="120" t="str">
        <f t="shared" si="161"/>
        <v>Hruške namizne</v>
      </c>
      <c r="J285" s="45" t="str">
        <f>+J$63</f>
        <v>Stranski pridelki</v>
      </c>
      <c r="K285" s="46" t="str">
        <f>+K$63</f>
        <v>EUR/ha</v>
      </c>
      <c r="L285" s="125"/>
      <c r="M285" s="307"/>
      <c r="N285" s="125"/>
      <c r="O285" s="252">
        <v>0</v>
      </c>
      <c r="P285" s="125"/>
      <c r="Q285" s="252">
        <v>0</v>
      </c>
      <c r="R285" s="252">
        <v>0</v>
      </c>
      <c r="S285" s="252">
        <v>0</v>
      </c>
      <c r="T285" s="252">
        <v>0</v>
      </c>
      <c r="U285" s="252">
        <v>0</v>
      </c>
      <c r="V285" s="252"/>
      <c r="W285" s="294"/>
      <c r="X285" s="240" t="e">
        <f t="shared" si="162"/>
        <v>#DIV/0!</v>
      </c>
      <c r="Y285" s="240" t="e">
        <f t="shared" si="163"/>
        <v>#DIV/0!</v>
      </c>
      <c r="Z285" s="240" t="e">
        <f t="shared" si="164"/>
        <v>#DIV/0!</v>
      </c>
      <c r="AA285" s="240" t="e">
        <f t="shared" si="165"/>
        <v>#DIV/0!</v>
      </c>
      <c r="AB285" s="240" t="e">
        <f t="shared" si="166"/>
        <v>#DIV/0!</v>
      </c>
      <c r="AD285" s="259"/>
      <c r="AE285" s="259"/>
      <c r="AF285" s="259"/>
      <c r="AG285" s="259"/>
      <c r="AH285" s="259"/>
      <c r="AI285" s="259"/>
      <c r="AJ285" s="259"/>
      <c r="AK285" s="259"/>
      <c r="AL285" s="259"/>
      <c r="AM285" s="259"/>
      <c r="AN285" s="259"/>
      <c r="AO285" s="259"/>
    </row>
    <row r="286" spans="1:41" s="120" customFormat="1" ht="12" x14ac:dyDescent="0.25">
      <c r="A286" s="131"/>
      <c r="B286" s="131"/>
      <c r="C286" s="131"/>
      <c r="D286" s="131"/>
      <c r="E286" s="131"/>
      <c r="F286" s="46"/>
      <c r="G286" s="146"/>
      <c r="H286" s="116">
        <f t="shared" si="159"/>
        <v>11</v>
      </c>
      <c r="I286" s="120" t="str">
        <f t="shared" si="161"/>
        <v>Hruške namizne</v>
      </c>
      <c r="J286" s="45" t="str">
        <f>+J$64</f>
        <v>Stroški glavnega pridelka</v>
      </c>
      <c r="K286" s="46" t="str">
        <f>+K$64</f>
        <v>EUR/ha</v>
      </c>
      <c r="L286" s="308"/>
      <c r="M286" s="307"/>
      <c r="N286" s="308"/>
      <c r="O286" s="262">
        <f>+O284-O285</f>
        <v>17946.111864250797</v>
      </c>
      <c r="P286" s="125"/>
      <c r="Q286" s="262">
        <f t="shared" ref="Q286:U286" si="167">+Q284-Q285</f>
        <v>22119.08399018451</v>
      </c>
      <c r="R286" s="262">
        <f t="shared" si="167"/>
        <v>20993.948527040728</v>
      </c>
      <c r="S286" s="262">
        <f t="shared" si="167"/>
        <v>19495.178204207583</v>
      </c>
      <c r="T286" s="262">
        <f t="shared" si="167"/>
        <v>17946.111864250797</v>
      </c>
      <c r="U286" s="262">
        <f t="shared" si="167"/>
        <v>16194.162585522481</v>
      </c>
      <c r="V286" s="262"/>
      <c r="W286" s="114"/>
      <c r="X286" s="240">
        <f t="shared" si="162"/>
        <v>123.25279234576934</v>
      </c>
      <c r="Y286" s="240">
        <f t="shared" si="163"/>
        <v>116.98327016929674</v>
      </c>
      <c r="Z286" s="240">
        <f t="shared" si="164"/>
        <v>108.63176576449729</v>
      </c>
      <c r="AA286" s="240">
        <f t="shared" si="165"/>
        <v>100</v>
      </c>
      <c r="AB286" s="240">
        <f t="shared" si="166"/>
        <v>90.237722287810698</v>
      </c>
      <c r="AD286" s="259"/>
      <c r="AE286" s="259"/>
      <c r="AF286" s="259"/>
      <c r="AG286" s="259"/>
      <c r="AH286" s="259"/>
      <c r="AI286" s="259"/>
      <c r="AJ286" s="259"/>
      <c r="AK286" s="259"/>
      <c r="AL286" s="259"/>
      <c r="AM286" s="259"/>
      <c r="AN286" s="259"/>
      <c r="AO286" s="259"/>
    </row>
    <row r="287" spans="1:41" s="120" customFormat="1" ht="12" x14ac:dyDescent="0.25">
      <c r="A287" s="131" t="s">
        <v>4</v>
      </c>
      <c r="B287" s="131" t="s">
        <v>0</v>
      </c>
      <c r="C287" s="131" t="s">
        <v>2</v>
      </c>
      <c r="D287" s="131" t="s">
        <v>1</v>
      </c>
      <c r="E287" s="131" t="s">
        <v>0</v>
      </c>
      <c r="F287" s="46"/>
      <c r="G287" s="146"/>
      <c r="H287" s="116">
        <f t="shared" si="159"/>
        <v>12</v>
      </c>
      <c r="I287" s="120" t="str">
        <f t="shared" si="161"/>
        <v>Hruške namizne</v>
      </c>
      <c r="J287" s="45" t="str">
        <f>+J$65</f>
        <v>Subvencije</v>
      </c>
      <c r="K287" s="46" t="str">
        <f>+K$65</f>
        <v>EUR/ha</v>
      </c>
      <c r="L287" s="125"/>
      <c r="M287" s="307"/>
      <c r="N287" s="125"/>
      <c r="O287" s="252">
        <v>23.94</v>
      </c>
      <c r="P287" s="125"/>
      <c r="Q287" s="252">
        <v>23.94</v>
      </c>
      <c r="R287" s="252">
        <v>23.94</v>
      </c>
      <c r="S287" s="252">
        <v>23.94</v>
      </c>
      <c r="T287" s="252">
        <v>23.94</v>
      </c>
      <c r="U287" s="252">
        <v>23.94</v>
      </c>
      <c r="V287" s="252"/>
      <c r="W287" s="114"/>
      <c r="X287" s="240">
        <f t="shared" si="162"/>
        <v>100</v>
      </c>
      <c r="Y287" s="240">
        <f t="shared" si="163"/>
        <v>100</v>
      </c>
      <c r="Z287" s="240">
        <f t="shared" si="164"/>
        <v>100</v>
      </c>
      <c r="AA287" s="240">
        <f t="shared" si="165"/>
        <v>100</v>
      </c>
      <c r="AB287" s="240">
        <f t="shared" si="166"/>
        <v>100</v>
      </c>
      <c r="AD287" s="259"/>
      <c r="AE287" s="259"/>
      <c r="AF287" s="259"/>
      <c r="AG287" s="259"/>
      <c r="AH287" s="259"/>
      <c r="AI287" s="259"/>
      <c r="AJ287" s="259"/>
      <c r="AK287" s="259"/>
      <c r="AL287" s="259"/>
      <c r="AM287" s="259"/>
      <c r="AN287" s="259"/>
      <c r="AO287" s="259"/>
    </row>
    <row r="288" spans="1:41" s="120" customFormat="1" ht="12" x14ac:dyDescent="0.25">
      <c r="A288" s="131"/>
      <c r="B288" s="131"/>
      <c r="C288" s="131" t="s">
        <v>13</v>
      </c>
      <c r="D288" s="131"/>
      <c r="E288" s="131"/>
      <c r="F288" s="46"/>
      <c r="G288" s="146"/>
      <c r="H288" s="116">
        <f t="shared" si="159"/>
        <v>13</v>
      </c>
      <c r="I288" s="120" t="str">
        <f t="shared" si="161"/>
        <v>Hruške namizne</v>
      </c>
      <c r="J288" s="45" t="str">
        <f>+J$66</f>
        <v>Stroški, zmanjšani za subvencije</v>
      </c>
      <c r="K288" s="46" t="str">
        <f>+K$66</f>
        <v>EUR/ha</v>
      </c>
      <c r="L288" s="308"/>
      <c r="M288" s="307"/>
      <c r="N288" s="308"/>
      <c r="O288" s="264">
        <f>+O286-O287</f>
        <v>17922.171864250799</v>
      </c>
      <c r="P288" s="125"/>
      <c r="Q288" s="264">
        <f t="shared" ref="Q288:U288" si="168">+Q286-Q287</f>
        <v>22095.143990184511</v>
      </c>
      <c r="R288" s="264">
        <f t="shared" si="168"/>
        <v>20970.008527040729</v>
      </c>
      <c r="S288" s="264">
        <f t="shared" si="168"/>
        <v>19471.238204207584</v>
      </c>
      <c r="T288" s="264">
        <f t="shared" si="168"/>
        <v>17922.171864250799</v>
      </c>
      <c r="U288" s="264">
        <f t="shared" si="168"/>
        <v>16170.222585522481</v>
      </c>
      <c r="V288" s="264"/>
      <c r="W288" s="114"/>
      <c r="X288" s="240">
        <f t="shared" si="162"/>
        <v>123.2838528585785</v>
      </c>
      <c r="Y288" s="240">
        <f t="shared" si="163"/>
        <v>117.00595600731529</v>
      </c>
      <c r="Z288" s="240">
        <f t="shared" si="164"/>
        <v>108.64329586665049</v>
      </c>
      <c r="AA288" s="240">
        <f t="shared" si="165"/>
        <v>100</v>
      </c>
      <c r="AB288" s="240">
        <f t="shared" si="166"/>
        <v>90.224682075374389</v>
      </c>
      <c r="AD288" s="259"/>
      <c r="AE288" s="259"/>
      <c r="AF288" s="259"/>
      <c r="AG288" s="259"/>
      <c r="AH288" s="259"/>
      <c r="AI288" s="259"/>
      <c r="AJ288" s="259"/>
      <c r="AK288" s="259"/>
      <c r="AL288" s="259"/>
      <c r="AM288" s="259"/>
      <c r="AN288" s="259"/>
      <c r="AO288" s="259"/>
    </row>
    <row r="289" spans="1:41" s="120" customFormat="1" ht="12" x14ac:dyDescent="0.25">
      <c r="A289" s="131"/>
      <c r="B289" s="131"/>
      <c r="C289" s="131"/>
      <c r="D289" s="131"/>
      <c r="E289" s="131"/>
      <c r="F289" s="46"/>
      <c r="G289" s="146"/>
      <c r="H289" s="116">
        <f t="shared" si="159"/>
        <v>14</v>
      </c>
      <c r="I289" s="120" t="str">
        <f t="shared" si="161"/>
        <v>Hruške namizne</v>
      </c>
      <c r="J289" s="45" t="str">
        <f>+J$67</f>
        <v>Stroški, zmanjšani za subvencije/kg</v>
      </c>
      <c r="K289" s="46" t="str">
        <f>+K$67</f>
        <v>EUR/kg</v>
      </c>
      <c r="L289" s="309"/>
      <c r="M289" s="310"/>
      <c r="N289" s="308"/>
      <c r="O289" s="270">
        <f>+O288/O280</f>
        <v>0.71688687457003197</v>
      </c>
      <c r="P289" s="311"/>
      <c r="Q289" s="270">
        <f t="shared" ref="Q289:U289" si="169">+Q288/Q280</f>
        <v>0.55237859975461279</v>
      </c>
      <c r="R289" s="270">
        <f t="shared" si="169"/>
        <v>0.59914310077259225</v>
      </c>
      <c r="S289" s="270">
        <f t="shared" si="169"/>
        <v>0.64904127347358609</v>
      </c>
      <c r="T289" s="270">
        <f t="shared" si="169"/>
        <v>0.71688687457003197</v>
      </c>
      <c r="U289" s="270">
        <f t="shared" si="169"/>
        <v>0.80851112927612401</v>
      </c>
      <c r="V289" s="270"/>
      <c r="W289" s="114"/>
      <c r="X289" s="240">
        <f t="shared" si="162"/>
        <v>77.052408036611567</v>
      </c>
      <c r="Y289" s="240">
        <f t="shared" si="163"/>
        <v>83.575682862368055</v>
      </c>
      <c r="Z289" s="240">
        <f t="shared" si="164"/>
        <v>90.536079888875392</v>
      </c>
      <c r="AA289" s="240">
        <f t="shared" si="165"/>
        <v>100</v>
      </c>
      <c r="AB289" s="240">
        <f t="shared" si="166"/>
        <v>112.78085259421798</v>
      </c>
      <c r="AD289" s="259"/>
      <c r="AE289" s="259"/>
      <c r="AF289" s="259"/>
      <c r="AG289" s="259"/>
      <c r="AH289" s="259"/>
      <c r="AI289" s="259"/>
      <c r="AJ289" s="259"/>
      <c r="AK289" s="259"/>
      <c r="AL289" s="259"/>
      <c r="AM289" s="259"/>
      <c r="AN289" s="259"/>
      <c r="AO289" s="259"/>
    </row>
    <row r="290" spans="1:41" s="120" customFormat="1" ht="12" x14ac:dyDescent="0.25">
      <c r="A290" s="131" t="s">
        <v>169</v>
      </c>
      <c r="B290" s="131"/>
      <c r="C290" s="131"/>
      <c r="D290" s="131"/>
      <c r="E290" s="131"/>
      <c r="F290" s="46"/>
      <c r="G290" s="146"/>
      <c r="H290" s="116">
        <f t="shared" si="159"/>
        <v>15</v>
      </c>
      <c r="I290" s="120" t="str">
        <f t="shared" si="161"/>
        <v>Hruške namizne</v>
      </c>
      <c r="J290" s="45" t="str">
        <f t="shared" ref="J290" si="170">+J253</f>
        <v>davek_a</v>
      </c>
      <c r="K290" s="46"/>
      <c r="L290" s="125"/>
      <c r="M290" s="307"/>
      <c r="N290" s="125"/>
      <c r="O290" s="117">
        <v>0</v>
      </c>
      <c r="P290" s="125"/>
      <c r="Q290" s="117">
        <v>0</v>
      </c>
      <c r="R290" s="117">
        <v>0</v>
      </c>
      <c r="S290" s="117">
        <v>0</v>
      </c>
      <c r="T290" s="117">
        <v>0</v>
      </c>
      <c r="U290" s="117">
        <v>0</v>
      </c>
      <c r="V290" s="117"/>
      <c r="W290" s="315"/>
      <c r="X290" s="240" t="e">
        <f t="shared" si="162"/>
        <v>#DIV/0!</v>
      </c>
      <c r="Y290" s="240" t="e">
        <f t="shared" si="163"/>
        <v>#DIV/0!</v>
      </c>
      <c r="Z290" s="240" t="e">
        <f t="shared" si="164"/>
        <v>#DIV/0!</v>
      </c>
      <c r="AA290" s="240" t="e">
        <f t="shared" si="165"/>
        <v>#DIV/0!</v>
      </c>
      <c r="AB290" s="240" t="e">
        <f t="shared" si="166"/>
        <v>#DIV/0!</v>
      </c>
      <c r="AD290" s="259"/>
      <c r="AE290" s="259"/>
      <c r="AF290" s="259"/>
      <c r="AG290" s="259"/>
      <c r="AH290" s="259"/>
      <c r="AI290" s="259"/>
      <c r="AJ290" s="259"/>
      <c r="AK290" s="259"/>
      <c r="AL290" s="259"/>
      <c r="AM290" s="259"/>
      <c r="AN290" s="259"/>
      <c r="AO290" s="259"/>
    </row>
    <row r="291" spans="1:41" s="120" customFormat="1" ht="12" x14ac:dyDescent="0.25">
      <c r="A291" s="46" t="s">
        <v>113</v>
      </c>
      <c r="B291" s="131"/>
      <c r="C291" s="131"/>
      <c r="D291" s="131"/>
      <c r="E291" s="131"/>
      <c r="F291" s="46"/>
      <c r="G291" s="146"/>
      <c r="H291" s="116">
        <f t="shared" si="159"/>
        <v>16</v>
      </c>
      <c r="I291" s="120" t="str">
        <f t="shared" si="161"/>
        <v>Hruške namizne</v>
      </c>
      <c r="J291" s="45" t="str">
        <f t="shared" ref="J291:J296" si="171">+A291</f>
        <v>Pokoj obvezno</v>
      </c>
      <c r="K291" s="46"/>
      <c r="L291" s="125"/>
      <c r="M291" s="307"/>
      <c r="N291" s="125"/>
      <c r="O291" s="117">
        <v>510.37710433510546</v>
      </c>
      <c r="P291" s="125"/>
      <c r="Q291" s="117">
        <v>593.7631815184368</v>
      </c>
      <c r="R291" s="117">
        <v>567.07262858215256</v>
      </c>
      <c r="S291" s="117">
        <v>537.06765727138963</v>
      </c>
      <c r="T291" s="117">
        <v>510.37710433510546</v>
      </c>
      <c r="U291" s="117">
        <v>483.68655139882145</v>
      </c>
      <c r="V291" s="117"/>
      <c r="W291" s="114"/>
      <c r="X291" s="240">
        <f t="shared" si="162"/>
        <v>116.33813046765933</v>
      </c>
      <c r="Y291" s="240">
        <f t="shared" si="163"/>
        <v>111.10855556910361</v>
      </c>
      <c r="Z291" s="240">
        <f t="shared" si="164"/>
        <v>105.22957489855571</v>
      </c>
      <c r="AA291" s="240">
        <f t="shared" si="165"/>
        <v>100</v>
      </c>
      <c r="AB291" s="240">
        <f t="shared" si="166"/>
        <v>94.770425101444317</v>
      </c>
      <c r="AD291" s="259"/>
      <c r="AE291" s="259"/>
      <c r="AF291" s="259"/>
      <c r="AG291" s="259"/>
      <c r="AH291" s="259"/>
      <c r="AI291" s="259"/>
      <c r="AJ291" s="259"/>
      <c r="AK291" s="259"/>
      <c r="AL291" s="259"/>
      <c r="AM291" s="259"/>
      <c r="AN291" s="259"/>
      <c r="AO291" s="259"/>
    </row>
    <row r="292" spans="1:41" s="120" customFormat="1" ht="12" x14ac:dyDescent="0.25">
      <c r="A292" s="46" t="s">
        <v>112</v>
      </c>
      <c r="B292" s="131"/>
      <c r="C292" s="131"/>
      <c r="D292" s="131"/>
      <c r="E292" s="131"/>
      <c r="F292" s="46"/>
      <c r="G292" s="46"/>
      <c r="H292" s="116">
        <f t="shared" si="159"/>
        <v>17</v>
      </c>
      <c r="I292" s="120" t="str">
        <f t="shared" si="161"/>
        <v>Hruške namizne</v>
      </c>
      <c r="J292" s="45" t="str">
        <f t="shared" si="171"/>
        <v>Zdrav obvezno</v>
      </c>
      <c r="K292" s="46"/>
      <c r="L292" s="124"/>
      <c r="M292" s="312"/>
      <c r="N292" s="124"/>
      <c r="O292" s="117">
        <v>233.45636578941267</v>
      </c>
      <c r="P292" s="124"/>
      <c r="Q292" s="117">
        <v>271.59877141714298</v>
      </c>
      <c r="R292" s="117">
        <v>259.38999591273944</v>
      </c>
      <c r="S292" s="117">
        <v>245.66514129381622</v>
      </c>
      <c r="T292" s="117">
        <v>233.45636578941267</v>
      </c>
      <c r="U292" s="117">
        <v>221.24759028500924</v>
      </c>
      <c r="V292" s="117"/>
      <c r="W292" s="114"/>
      <c r="X292" s="240">
        <f t="shared" si="162"/>
        <v>116.33813046765935</v>
      </c>
      <c r="Y292" s="240">
        <f t="shared" si="163"/>
        <v>111.10855556910364</v>
      </c>
      <c r="Z292" s="240">
        <f t="shared" si="164"/>
        <v>105.22957489855571</v>
      </c>
      <c r="AA292" s="240">
        <f t="shared" si="165"/>
        <v>100</v>
      </c>
      <c r="AB292" s="240">
        <f t="shared" si="166"/>
        <v>94.770425101444332</v>
      </c>
      <c r="AD292" s="259"/>
      <c r="AE292" s="259"/>
      <c r="AF292" s="259"/>
      <c r="AG292" s="259"/>
      <c r="AH292" s="259"/>
      <c r="AI292" s="259"/>
      <c r="AJ292" s="259"/>
      <c r="AK292" s="259"/>
      <c r="AL292" s="259"/>
      <c r="AM292" s="259"/>
      <c r="AN292" s="259"/>
      <c r="AO292" s="259"/>
    </row>
    <row r="293" spans="1:41" s="120" customFormat="1" ht="12" x14ac:dyDescent="0.25">
      <c r="A293" s="46" t="s">
        <v>111</v>
      </c>
      <c r="B293" s="131"/>
      <c r="C293" s="131"/>
      <c r="D293" s="131"/>
      <c r="E293" s="131"/>
      <c r="F293" s="46"/>
      <c r="G293" s="46"/>
      <c r="H293" s="116">
        <f t="shared" si="159"/>
        <v>18</v>
      </c>
      <c r="I293" s="120" t="str">
        <f t="shared" si="161"/>
        <v>Hruške namizne</v>
      </c>
      <c r="J293" s="45" t="str">
        <f t="shared" si="171"/>
        <v>Pokoj dodatno</v>
      </c>
      <c r="K293" s="46"/>
      <c r="L293" s="125"/>
      <c r="M293" s="307"/>
      <c r="N293" s="125"/>
      <c r="O293" s="117">
        <v>431.27566525474373</v>
      </c>
      <c r="P293" s="125"/>
      <c r="Q293" s="117">
        <v>501.73804611932962</v>
      </c>
      <c r="R293" s="117">
        <v>479.18416218558843</v>
      </c>
      <c r="S293" s="117">
        <v>453.82954918848498</v>
      </c>
      <c r="T293" s="117">
        <v>431.27566525474373</v>
      </c>
      <c r="U293" s="117">
        <v>408.72178132100265</v>
      </c>
      <c r="V293" s="117"/>
      <c r="W293" s="294"/>
      <c r="X293" s="240">
        <f t="shared" si="162"/>
        <v>116.33813046765937</v>
      </c>
      <c r="Y293" s="240">
        <f t="shared" si="163"/>
        <v>111.10855556910366</v>
      </c>
      <c r="Z293" s="240">
        <f t="shared" si="164"/>
        <v>105.22957489855571</v>
      </c>
      <c r="AA293" s="240">
        <f t="shared" si="165"/>
        <v>100</v>
      </c>
      <c r="AB293" s="240">
        <f t="shared" si="166"/>
        <v>94.770425101444317</v>
      </c>
      <c r="AD293" s="259"/>
      <c r="AE293" s="259"/>
      <c r="AF293" s="259"/>
      <c r="AG293" s="259"/>
      <c r="AH293" s="259"/>
      <c r="AI293" s="259"/>
      <c r="AJ293" s="259"/>
      <c r="AK293" s="259"/>
      <c r="AL293" s="259"/>
      <c r="AM293" s="259"/>
      <c r="AN293" s="259"/>
      <c r="AO293" s="259"/>
    </row>
    <row r="294" spans="1:41" s="120" customFormat="1" ht="12" x14ac:dyDescent="0.25">
      <c r="A294" s="46" t="s">
        <v>110</v>
      </c>
      <c r="B294" s="131"/>
      <c r="C294" s="131"/>
      <c r="D294" s="131"/>
      <c r="E294" s="131"/>
      <c r="F294" s="46"/>
      <c r="G294" s="46"/>
      <c r="H294" s="116">
        <f t="shared" si="159"/>
        <v>19</v>
      </c>
      <c r="I294" s="120" t="str">
        <f t="shared" si="161"/>
        <v>Hruške namizne</v>
      </c>
      <c r="J294" s="45" t="str">
        <f t="shared" si="171"/>
        <v>Zdrav dodatno</v>
      </c>
      <c r="K294" s="46"/>
      <c r="L294" s="124"/>
      <c r="M294" s="312"/>
      <c r="N294" s="124"/>
      <c r="O294" s="117">
        <v>197.27383655846018</v>
      </c>
      <c r="P294" s="124"/>
      <c r="Q294" s="117">
        <v>229.50469335393845</v>
      </c>
      <c r="R294" s="117">
        <v>219.1881103158594</v>
      </c>
      <c r="S294" s="117">
        <v>207.59041959653925</v>
      </c>
      <c r="T294" s="117">
        <v>197.27383655846018</v>
      </c>
      <c r="U294" s="117">
        <v>186.95725352038122</v>
      </c>
      <c r="V294" s="117"/>
      <c r="W294" s="114"/>
      <c r="X294" s="240">
        <f t="shared" si="162"/>
        <v>116.33813046765935</v>
      </c>
      <c r="Y294" s="240">
        <f t="shared" si="163"/>
        <v>111.10855556910364</v>
      </c>
      <c r="Z294" s="240">
        <f t="shared" si="164"/>
        <v>105.22957489855571</v>
      </c>
      <c r="AA294" s="240">
        <f t="shared" si="165"/>
        <v>100</v>
      </c>
      <c r="AB294" s="240">
        <f t="shared" si="166"/>
        <v>94.770425101444332</v>
      </c>
      <c r="AD294" s="259"/>
      <c r="AE294" s="259"/>
      <c r="AF294" s="259"/>
      <c r="AG294" s="259"/>
      <c r="AH294" s="259"/>
      <c r="AI294" s="259"/>
      <c r="AJ294" s="259"/>
      <c r="AK294" s="259"/>
      <c r="AL294" s="259"/>
      <c r="AM294" s="259"/>
      <c r="AN294" s="259"/>
      <c r="AO294" s="259"/>
    </row>
    <row r="295" spans="1:41" s="120" customFormat="1" ht="12" x14ac:dyDescent="0.25">
      <c r="A295" s="46" t="s">
        <v>109</v>
      </c>
      <c r="B295" s="131"/>
      <c r="C295" s="131"/>
      <c r="D295" s="131"/>
      <c r="E295" s="131"/>
      <c r="F295" s="46"/>
      <c r="G295" s="46"/>
      <c r="H295" s="116">
        <f t="shared" si="159"/>
        <v>20</v>
      </c>
      <c r="I295" s="120" t="str">
        <f t="shared" si="161"/>
        <v>Hruške namizne</v>
      </c>
      <c r="J295" s="45" t="str">
        <f t="shared" si="171"/>
        <v>Regresi</v>
      </c>
      <c r="K295" s="46"/>
      <c r="L295" s="125"/>
      <c r="M295" s="307"/>
      <c r="N295" s="125"/>
      <c r="O295" s="117">
        <v>1293.9304732081114</v>
      </c>
      <c r="P295" s="125"/>
      <c r="Q295" s="117">
        <v>1505.3345220816548</v>
      </c>
      <c r="R295" s="117">
        <v>1437.6674588500002</v>
      </c>
      <c r="S295" s="117">
        <v>1361.5975364397661</v>
      </c>
      <c r="T295" s="117">
        <v>1293.9304732081114</v>
      </c>
      <c r="U295" s="117">
        <v>1226.2634099764575</v>
      </c>
      <c r="V295" s="117"/>
      <c r="W295" s="294"/>
      <c r="X295" s="240">
        <f t="shared" si="162"/>
        <v>116.33813046765935</v>
      </c>
      <c r="Y295" s="240">
        <f t="shared" si="163"/>
        <v>111.10855556910364</v>
      </c>
      <c r="Z295" s="240">
        <f t="shared" si="164"/>
        <v>105.22957489855574</v>
      </c>
      <c r="AA295" s="240">
        <f t="shared" si="165"/>
        <v>100</v>
      </c>
      <c r="AB295" s="240">
        <f t="shared" si="166"/>
        <v>94.770425101444346</v>
      </c>
      <c r="AD295" s="259"/>
      <c r="AE295" s="259"/>
      <c r="AF295" s="259"/>
      <c r="AG295" s="259"/>
      <c r="AH295" s="259"/>
      <c r="AI295" s="259"/>
      <c r="AJ295" s="259"/>
      <c r="AK295" s="259"/>
      <c r="AL295" s="259"/>
      <c r="AM295" s="259"/>
      <c r="AN295" s="259"/>
      <c r="AO295" s="259"/>
    </row>
    <row r="296" spans="1:41" s="120" customFormat="1" ht="12" x14ac:dyDescent="0.25">
      <c r="A296" s="131" t="s">
        <v>28</v>
      </c>
      <c r="B296" s="131"/>
      <c r="C296" s="131"/>
      <c r="D296" s="131"/>
      <c r="E296" s="131"/>
      <c r="F296" s="46"/>
      <c r="G296" s="46"/>
      <c r="H296" s="116">
        <f t="shared" si="159"/>
        <v>21</v>
      </c>
      <c r="I296" s="120" t="str">
        <f t="shared" si="161"/>
        <v>Hruške namizne</v>
      </c>
      <c r="J296" s="45" t="str">
        <f t="shared" si="171"/>
        <v>SUM element</v>
      </c>
      <c r="K296" s="46"/>
      <c r="L296" s="146"/>
      <c r="M296" s="260"/>
      <c r="N296" s="146"/>
      <c r="O296" s="252">
        <v>17946.111864250797</v>
      </c>
      <c r="P296" s="263"/>
      <c r="Q296" s="252">
        <v>22119.083990184514</v>
      </c>
      <c r="R296" s="252">
        <v>20993.948527040728</v>
      </c>
      <c r="S296" s="252">
        <v>19495.178204207583</v>
      </c>
      <c r="T296" s="252">
        <v>17946.111864250797</v>
      </c>
      <c r="U296" s="252">
        <v>16194.162585522485</v>
      </c>
      <c r="V296" s="252"/>
      <c r="W296" s="294"/>
      <c r="X296" s="240">
        <f t="shared" si="162"/>
        <v>123.25279234576936</v>
      </c>
      <c r="Y296" s="240">
        <f t="shared" si="163"/>
        <v>116.98327016929674</v>
      </c>
      <c r="Z296" s="240">
        <f t="shared" si="164"/>
        <v>108.63176576449729</v>
      </c>
      <c r="AA296" s="240">
        <f t="shared" si="165"/>
        <v>100</v>
      </c>
      <c r="AB296" s="240">
        <f t="shared" si="166"/>
        <v>90.237722287810712</v>
      </c>
      <c r="AD296" s="259"/>
      <c r="AE296" s="259"/>
      <c r="AF296" s="259"/>
      <c r="AG296" s="259"/>
      <c r="AH296" s="259"/>
      <c r="AI296" s="259"/>
      <c r="AJ296" s="259"/>
      <c r="AK296" s="259"/>
      <c r="AL296" s="259"/>
      <c r="AM296" s="259"/>
      <c r="AN296" s="259"/>
      <c r="AO296" s="259"/>
    </row>
    <row r="297" spans="1:41" s="120" customFormat="1" ht="12" x14ac:dyDescent="0.25">
      <c r="A297" s="131" t="s">
        <v>4</v>
      </c>
      <c r="B297" s="131" t="s">
        <v>0</v>
      </c>
      <c r="C297" s="131" t="s">
        <v>2</v>
      </c>
      <c r="D297" s="131" t="s">
        <v>1</v>
      </c>
      <c r="E297" s="131" t="s">
        <v>0</v>
      </c>
      <c r="F297" s="46"/>
      <c r="G297" s="46"/>
      <c r="H297" s="116">
        <f t="shared" si="159"/>
        <v>22</v>
      </c>
      <c r="I297" s="120" t="str">
        <f t="shared" si="161"/>
        <v>Hruške namizne</v>
      </c>
      <c r="J297" s="190" t="str">
        <f t="shared" ref="J297" si="172">+J260</f>
        <v>Subvencije</v>
      </c>
      <c r="K297" s="46"/>
      <c r="L297" s="146"/>
      <c r="M297" s="260"/>
      <c r="N297" s="146"/>
      <c r="O297" s="302">
        <v>23.94</v>
      </c>
      <c r="P297" s="303"/>
      <c r="Q297" s="302">
        <v>23.94</v>
      </c>
      <c r="R297" s="302">
        <v>23.94</v>
      </c>
      <c r="S297" s="302">
        <v>23.94</v>
      </c>
      <c r="T297" s="302">
        <v>23.94</v>
      </c>
      <c r="U297" s="302">
        <v>23.94</v>
      </c>
      <c r="V297" s="252"/>
      <c r="W297" s="294"/>
      <c r="X297" s="240"/>
      <c r="Y297" s="240"/>
      <c r="Z297" s="240"/>
      <c r="AA297" s="240"/>
      <c r="AB297" s="203"/>
      <c r="AD297" s="259"/>
      <c r="AE297" s="259"/>
      <c r="AF297" s="259"/>
      <c r="AG297" s="259"/>
      <c r="AH297" s="259"/>
      <c r="AI297" s="259"/>
      <c r="AJ297" s="259"/>
      <c r="AK297" s="259"/>
      <c r="AL297" s="259"/>
      <c r="AM297" s="259"/>
      <c r="AN297" s="259"/>
      <c r="AO297" s="259"/>
    </row>
    <row r="298" spans="1:41" s="120" customFormat="1" ht="24.75" customHeight="1" x14ac:dyDescent="0.25">
      <c r="A298" s="196" t="s">
        <v>29</v>
      </c>
      <c r="B298" s="131"/>
      <c r="C298" s="131"/>
      <c r="D298" s="131"/>
      <c r="E298" s="131"/>
      <c r="F298" s="46"/>
      <c r="G298" s="46"/>
      <c r="H298" s="116">
        <f t="shared" si="159"/>
        <v>23</v>
      </c>
      <c r="I298" s="120" t="str">
        <f t="shared" si="161"/>
        <v>Hruške namizne</v>
      </c>
      <c r="J298" s="291" t="str">
        <f>+J261</f>
        <v>Vrednost pridelave_tržna</v>
      </c>
      <c r="K298" s="46"/>
      <c r="L298" s="146"/>
      <c r="M298" s="260"/>
      <c r="N298" s="146"/>
      <c r="O298" s="302">
        <v>35350.000000000007</v>
      </c>
      <c r="P298" s="303"/>
      <c r="Q298" s="302">
        <v>56560.000000000007</v>
      </c>
      <c r="R298" s="302">
        <v>49490.000000000007</v>
      </c>
      <c r="S298" s="302">
        <v>42420.000000000007</v>
      </c>
      <c r="T298" s="302">
        <v>35350.000000000007</v>
      </c>
      <c r="U298" s="302">
        <v>28280.000000000004</v>
      </c>
      <c r="V298" s="302"/>
      <c r="W298" s="294"/>
      <c r="X298" s="240"/>
      <c r="Y298" s="240"/>
      <c r="Z298" s="240"/>
      <c r="AA298" s="240"/>
      <c r="AB298" s="203"/>
      <c r="AD298" s="259"/>
      <c r="AE298" s="259"/>
      <c r="AF298" s="259"/>
      <c r="AG298" s="259"/>
      <c r="AH298" s="259"/>
      <c r="AI298" s="259"/>
      <c r="AJ298" s="259"/>
      <c r="AK298" s="259"/>
      <c r="AL298" s="259"/>
      <c r="AM298" s="259"/>
      <c r="AN298" s="259"/>
      <c r="AO298" s="259"/>
    </row>
    <row r="299" spans="1:41" s="120" customFormat="1" ht="12" x14ac:dyDescent="0.25">
      <c r="A299" s="131"/>
      <c r="B299" s="131"/>
      <c r="C299" s="131"/>
      <c r="D299" s="131"/>
      <c r="E299" s="131"/>
      <c r="F299" s="46"/>
      <c r="G299" s="133"/>
      <c r="H299" s="116">
        <f t="shared" si="159"/>
        <v>24</v>
      </c>
      <c r="J299" s="72"/>
      <c r="K299" s="128"/>
      <c r="L299" s="278"/>
      <c r="M299" s="279"/>
      <c r="N299" s="272"/>
      <c r="O299" s="280">
        <f>+O284-O297-O285</f>
        <v>17922.171864250799</v>
      </c>
      <c r="P299" s="146" t="s">
        <v>108</v>
      </c>
      <c r="Q299" s="280">
        <f t="shared" ref="Q299:U299" si="173">+Q284-Q297-Q285</f>
        <v>22095.143990184511</v>
      </c>
      <c r="R299" s="280">
        <f t="shared" si="173"/>
        <v>20970.008527040729</v>
      </c>
      <c r="S299" s="280">
        <f t="shared" si="173"/>
        <v>19471.238204207584</v>
      </c>
      <c r="T299" s="280">
        <f t="shared" si="173"/>
        <v>17922.171864250799</v>
      </c>
      <c r="U299" s="280">
        <f t="shared" si="173"/>
        <v>16170.222585522481</v>
      </c>
      <c r="V299" s="280"/>
      <c r="W299" s="294"/>
      <c r="X299" s="240"/>
      <c r="Y299" s="240"/>
      <c r="Z299" s="240"/>
      <c r="AA299" s="240"/>
      <c r="AB299" s="301"/>
      <c r="AD299" s="259"/>
      <c r="AE299" s="259"/>
      <c r="AF299" s="259"/>
      <c r="AG299" s="259"/>
      <c r="AH299" s="259"/>
      <c r="AI299" s="259"/>
      <c r="AJ299" s="259"/>
      <c r="AK299" s="259"/>
      <c r="AL299" s="259"/>
      <c r="AM299" s="259"/>
      <c r="AN299" s="259"/>
      <c r="AO299" s="259"/>
    </row>
    <row r="300" spans="1:41" s="120" customFormat="1" ht="12" x14ac:dyDescent="0.25">
      <c r="A300" s="131"/>
      <c r="B300" s="131"/>
      <c r="C300" s="131"/>
      <c r="D300" s="131"/>
      <c r="E300" s="131"/>
      <c r="F300" s="46"/>
      <c r="G300" s="128"/>
      <c r="H300" s="116">
        <f t="shared" si="159"/>
        <v>25</v>
      </c>
      <c r="J300" s="72"/>
      <c r="K300" s="128"/>
      <c r="L300" s="278"/>
      <c r="M300" s="279"/>
      <c r="N300" s="272"/>
      <c r="O300" s="280">
        <f>O299-O291-O292</f>
        <v>17178.33839412628</v>
      </c>
      <c r="P300" s="146" t="s">
        <v>107</v>
      </c>
      <c r="Q300" s="280">
        <f t="shared" ref="Q300:U300" si="174">Q299-Q291-Q292</f>
        <v>21229.782037248933</v>
      </c>
      <c r="R300" s="280">
        <f t="shared" si="174"/>
        <v>20143.545902545837</v>
      </c>
      <c r="S300" s="280">
        <f t="shared" si="174"/>
        <v>18688.50540564238</v>
      </c>
      <c r="T300" s="280">
        <f t="shared" si="174"/>
        <v>17178.33839412628</v>
      </c>
      <c r="U300" s="280">
        <f t="shared" si="174"/>
        <v>15465.28844383865</v>
      </c>
      <c r="V300" s="280"/>
      <c r="W300" s="304"/>
      <c r="X300" s="272"/>
      <c r="Y300" s="272"/>
      <c r="Z300" s="272"/>
      <c r="AA300" s="272"/>
      <c r="AB300" s="301"/>
      <c r="AD300" s="259"/>
      <c r="AE300" s="259"/>
      <c r="AF300" s="259"/>
      <c r="AG300" s="259"/>
      <c r="AH300" s="259"/>
      <c r="AI300" s="259"/>
      <c r="AJ300" s="259"/>
      <c r="AK300" s="259"/>
      <c r="AL300" s="259"/>
      <c r="AM300" s="259"/>
      <c r="AN300" s="259"/>
      <c r="AO300" s="259"/>
    </row>
    <row r="301" spans="1:41" s="120" customFormat="1" ht="12" x14ac:dyDescent="0.25">
      <c r="A301" s="131"/>
      <c r="B301" s="131"/>
      <c r="C301" s="131"/>
      <c r="D301" s="131"/>
      <c r="E301" s="131"/>
      <c r="F301" s="46"/>
      <c r="G301" s="45"/>
      <c r="H301" s="116">
        <f t="shared" si="159"/>
        <v>26</v>
      </c>
      <c r="J301" s="45"/>
      <c r="K301" s="46"/>
      <c r="L301" s="257"/>
      <c r="M301" s="258"/>
      <c r="N301" s="272"/>
      <c r="O301" s="280">
        <f>O300-O293-O294-O295</f>
        <v>15255.858419104967</v>
      </c>
      <c r="P301" s="146" t="s">
        <v>106</v>
      </c>
      <c r="Q301" s="280">
        <f t="shared" ref="Q301:U301" si="175">Q300-Q293-Q294-Q295</f>
        <v>18993.204775694012</v>
      </c>
      <c r="R301" s="280">
        <f t="shared" si="175"/>
        <v>18007.506171194389</v>
      </c>
      <c r="S301" s="280">
        <f t="shared" si="175"/>
        <v>16665.487900417589</v>
      </c>
      <c r="T301" s="280">
        <f t="shared" si="175"/>
        <v>15255.858419104967</v>
      </c>
      <c r="U301" s="280">
        <f t="shared" si="175"/>
        <v>13643.345999020808</v>
      </c>
      <c r="V301" s="280"/>
      <c r="W301" s="304"/>
      <c r="X301" s="272"/>
      <c r="Y301" s="272"/>
      <c r="Z301" s="272"/>
      <c r="AA301" s="272"/>
      <c r="AB301" s="316"/>
      <c r="AD301" s="259"/>
      <c r="AE301" s="259"/>
      <c r="AF301" s="259"/>
      <c r="AG301" s="259"/>
      <c r="AH301" s="259"/>
      <c r="AI301" s="259"/>
      <c r="AJ301" s="259"/>
      <c r="AK301" s="259"/>
      <c r="AL301" s="259"/>
      <c r="AM301" s="259"/>
      <c r="AN301" s="259"/>
      <c r="AO301" s="259"/>
    </row>
    <row r="302" spans="1:41" s="120" customFormat="1" ht="12" x14ac:dyDescent="0.25">
      <c r="A302" s="131"/>
      <c r="B302" s="131"/>
      <c r="C302" s="131"/>
      <c r="D302" s="131"/>
      <c r="E302" s="131"/>
      <c r="F302" s="46"/>
      <c r="G302" s="46"/>
      <c r="H302" s="116">
        <f t="shared" si="159"/>
        <v>27</v>
      </c>
      <c r="J302" s="46"/>
      <c r="K302" s="46"/>
      <c r="L302" s="146"/>
      <c r="M302" s="260"/>
      <c r="N302" s="146"/>
      <c r="O302" s="282"/>
      <c r="P302" s="277"/>
      <c r="Q302" s="282"/>
      <c r="R302" s="282"/>
      <c r="S302" s="282"/>
      <c r="T302" s="282"/>
      <c r="U302" s="282"/>
      <c r="V302" s="282"/>
      <c r="W302" s="304"/>
      <c r="X302" s="257"/>
      <c r="Y302" s="257"/>
      <c r="Z302" s="257"/>
      <c r="AA302" s="257"/>
      <c r="AB302" s="203"/>
      <c r="AD302" s="259"/>
      <c r="AE302" s="259"/>
      <c r="AF302" s="259"/>
      <c r="AG302" s="259"/>
      <c r="AH302" s="259"/>
      <c r="AI302" s="259"/>
      <c r="AJ302" s="259"/>
      <c r="AK302" s="259"/>
      <c r="AL302" s="259"/>
      <c r="AM302" s="259"/>
      <c r="AN302" s="259"/>
      <c r="AO302" s="259"/>
    </row>
    <row r="303" spans="1:41" s="120" customFormat="1" ht="12" x14ac:dyDescent="0.25">
      <c r="A303" s="131"/>
      <c r="B303" s="131"/>
      <c r="C303" s="131"/>
      <c r="D303" s="131"/>
      <c r="E303" s="131"/>
      <c r="F303" s="46"/>
      <c r="G303" s="46"/>
      <c r="H303" s="116">
        <f t="shared" si="159"/>
        <v>28</v>
      </c>
      <c r="J303" s="45"/>
      <c r="K303" s="46"/>
      <c r="L303" s="146"/>
      <c r="M303" s="260"/>
      <c r="N303" s="146"/>
      <c r="O303" s="285" t="str">
        <f>+O280&amp;";"&amp;O282</f>
        <v>25000;0,5</v>
      </c>
      <c r="P303" s="305"/>
      <c r="Q303" s="285" t="str">
        <f t="shared" ref="Q303:U303" si="176">+Q280&amp;";"&amp;Q282</f>
        <v>40000;0,5</v>
      </c>
      <c r="R303" s="285" t="str">
        <f t="shared" si="176"/>
        <v>35000;0,5</v>
      </c>
      <c r="S303" s="285" t="str">
        <f t="shared" si="176"/>
        <v>30000;0,5</v>
      </c>
      <c r="T303" s="285" t="str">
        <f t="shared" si="176"/>
        <v>25000;0,5</v>
      </c>
      <c r="U303" s="285" t="str">
        <f t="shared" si="176"/>
        <v>20000;0,5</v>
      </c>
      <c r="V303" s="285"/>
      <c r="W303" s="114"/>
      <c r="X303" s="146"/>
      <c r="Y303" s="146"/>
      <c r="Z303" s="146"/>
      <c r="AA303" s="146"/>
      <c r="AB303" s="203"/>
      <c r="AD303" s="259"/>
      <c r="AE303" s="259"/>
      <c r="AF303" s="259"/>
      <c r="AG303" s="259"/>
      <c r="AH303" s="259"/>
      <c r="AI303" s="259"/>
      <c r="AJ303" s="259"/>
      <c r="AK303" s="259"/>
      <c r="AL303" s="259"/>
      <c r="AM303" s="259"/>
      <c r="AN303" s="259"/>
      <c r="AO303" s="259"/>
    </row>
    <row r="304" spans="1:41" s="120" customFormat="1" ht="12.75" customHeight="1" x14ac:dyDescent="0.25">
      <c r="A304" s="131"/>
      <c r="B304" s="131"/>
      <c r="C304" s="131"/>
      <c r="D304" s="131"/>
      <c r="E304" s="131"/>
      <c r="F304" s="46"/>
      <c r="G304" s="46"/>
      <c r="H304" s="116">
        <f t="shared" si="159"/>
        <v>29</v>
      </c>
      <c r="J304" s="46"/>
      <c r="K304" s="46"/>
      <c r="L304" s="146"/>
      <c r="M304" s="260"/>
      <c r="N304" s="146"/>
      <c r="O304" s="287">
        <f>+O299/O280*1000</f>
        <v>716.88687457003198</v>
      </c>
      <c r="P304" s="273" t="s">
        <v>105</v>
      </c>
      <c r="Q304" s="287">
        <f t="shared" ref="Q304:U304" si="177">+Q299/Q280*1000</f>
        <v>552.37859975461276</v>
      </c>
      <c r="R304" s="287">
        <f t="shared" si="177"/>
        <v>599.14310077259222</v>
      </c>
      <c r="S304" s="287">
        <f t="shared" si="177"/>
        <v>649.0412734735861</v>
      </c>
      <c r="T304" s="287">
        <f t="shared" si="177"/>
        <v>716.88687457003198</v>
      </c>
      <c r="U304" s="287">
        <f t="shared" si="177"/>
        <v>808.51112927612405</v>
      </c>
      <c r="V304" s="287"/>
      <c r="W304" s="114"/>
      <c r="X304" s="146"/>
      <c r="Y304" s="146"/>
      <c r="Z304" s="146"/>
      <c r="AA304" s="146"/>
      <c r="AB304" s="203"/>
      <c r="AD304" s="259"/>
      <c r="AE304" s="259"/>
      <c r="AF304" s="259"/>
      <c r="AG304" s="259"/>
      <c r="AH304" s="259"/>
      <c r="AI304" s="259"/>
      <c r="AJ304" s="259"/>
      <c r="AK304" s="259"/>
      <c r="AL304" s="259"/>
      <c r="AM304" s="259"/>
      <c r="AN304" s="259"/>
      <c r="AO304" s="259"/>
    </row>
    <row r="305" spans="1:41" s="120" customFormat="1" ht="12" x14ac:dyDescent="0.25">
      <c r="A305" s="131"/>
      <c r="B305" s="131"/>
      <c r="C305" s="131"/>
      <c r="D305" s="131"/>
      <c r="E305" s="131"/>
      <c r="F305" s="46"/>
      <c r="G305" s="46"/>
      <c r="H305" s="116">
        <f t="shared" si="159"/>
        <v>30</v>
      </c>
      <c r="J305" s="46"/>
      <c r="K305" s="46"/>
      <c r="L305" s="146"/>
      <c r="M305" s="260"/>
      <c r="N305" s="146"/>
      <c r="O305" s="287">
        <f>+O304*O300/O299</f>
        <v>687.13353576505131</v>
      </c>
      <c r="P305" s="273" t="s">
        <v>104</v>
      </c>
      <c r="Q305" s="287">
        <f t="shared" ref="Q305:U305" si="178">+Q304*Q300/Q299</f>
        <v>530.74455093122333</v>
      </c>
      <c r="R305" s="287">
        <f t="shared" si="178"/>
        <v>575.52988292988096</v>
      </c>
      <c r="S305" s="287">
        <f t="shared" si="178"/>
        <v>622.95018018807923</v>
      </c>
      <c r="T305" s="287">
        <f t="shared" si="178"/>
        <v>687.13353576505131</v>
      </c>
      <c r="U305" s="287">
        <f t="shared" si="178"/>
        <v>773.26442219193257</v>
      </c>
      <c r="V305" s="287"/>
      <c r="W305" s="114"/>
      <c r="X305" s="146"/>
      <c r="Y305" s="146"/>
      <c r="Z305" s="146"/>
      <c r="AA305" s="146"/>
      <c r="AB305" s="203"/>
      <c r="AD305" s="259"/>
      <c r="AE305" s="259"/>
      <c r="AF305" s="259"/>
      <c r="AG305" s="259"/>
      <c r="AH305" s="259"/>
      <c r="AI305" s="259"/>
      <c r="AJ305" s="259"/>
      <c r="AK305" s="259"/>
      <c r="AL305" s="259"/>
      <c r="AM305" s="259"/>
      <c r="AN305" s="259"/>
      <c r="AO305" s="259"/>
    </row>
    <row r="306" spans="1:41" s="120" customFormat="1" ht="12" x14ac:dyDescent="0.25">
      <c r="A306" s="131"/>
      <c r="B306" s="131"/>
      <c r="C306" s="131"/>
      <c r="D306" s="131"/>
      <c r="E306" s="131"/>
      <c r="F306" s="46"/>
      <c r="G306" s="46"/>
      <c r="H306" s="116">
        <f t="shared" si="159"/>
        <v>31</v>
      </c>
      <c r="J306" s="46"/>
      <c r="K306" s="46"/>
      <c r="L306" s="146"/>
      <c r="M306" s="260"/>
      <c r="N306" s="146"/>
      <c r="O306" s="287">
        <f>+O304*O301/O299</f>
        <v>610.2343367641987</v>
      </c>
      <c r="P306" s="273" t="s">
        <v>103</v>
      </c>
      <c r="Q306" s="287">
        <f t="shared" ref="Q306:U306" si="179">+Q304*Q301/Q299</f>
        <v>474.8301193923503</v>
      </c>
      <c r="R306" s="287">
        <f t="shared" si="179"/>
        <v>514.50017631983962</v>
      </c>
      <c r="S306" s="287">
        <f t="shared" si="179"/>
        <v>555.5162633472529</v>
      </c>
      <c r="T306" s="287">
        <f t="shared" si="179"/>
        <v>610.2343367641987</v>
      </c>
      <c r="U306" s="287">
        <f t="shared" si="179"/>
        <v>682.16729995104049</v>
      </c>
      <c r="V306" s="287"/>
      <c r="W306" s="114"/>
      <c r="X306" s="146"/>
      <c r="Y306" s="146"/>
      <c r="Z306" s="146"/>
      <c r="AA306" s="146"/>
      <c r="AB306" s="203"/>
      <c r="AD306" s="259"/>
      <c r="AE306" s="259"/>
      <c r="AF306" s="259"/>
      <c r="AG306" s="259"/>
      <c r="AH306" s="259"/>
      <c r="AI306" s="259"/>
      <c r="AJ306" s="259"/>
      <c r="AK306" s="259"/>
      <c r="AL306" s="259"/>
      <c r="AM306" s="259"/>
      <c r="AN306" s="259"/>
      <c r="AO306" s="259"/>
    </row>
    <row r="307" spans="1:41" s="120" customFormat="1" ht="12" x14ac:dyDescent="0.25">
      <c r="A307" s="131"/>
      <c r="B307" s="131"/>
      <c r="C307" s="131"/>
      <c r="D307" s="131"/>
      <c r="E307" s="131"/>
      <c r="F307" s="46"/>
      <c r="G307" s="46"/>
      <c r="H307" s="116">
        <f t="shared" si="159"/>
        <v>32</v>
      </c>
      <c r="J307" s="46"/>
      <c r="K307" s="46"/>
      <c r="L307" s="146"/>
      <c r="M307" s="260"/>
      <c r="N307" s="146"/>
      <c r="O307" s="287">
        <f>+O304-O306</f>
        <v>106.65253780583328</v>
      </c>
      <c r="P307" s="273" t="s">
        <v>102</v>
      </c>
      <c r="Q307" s="287">
        <f t="shared" ref="Q307:U307" si="180">+Q304-Q306</f>
        <v>77.548480362262467</v>
      </c>
      <c r="R307" s="287">
        <f t="shared" si="180"/>
        <v>84.642924452752595</v>
      </c>
      <c r="S307" s="287">
        <f t="shared" si="180"/>
        <v>93.5250101263332</v>
      </c>
      <c r="T307" s="287">
        <f t="shared" si="180"/>
        <v>106.65253780583328</v>
      </c>
      <c r="U307" s="287">
        <f t="shared" si="180"/>
        <v>126.34382932508356</v>
      </c>
      <c r="V307" s="287"/>
      <c r="W307" s="114"/>
      <c r="X307" s="146"/>
      <c r="Y307" s="146"/>
      <c r="Z307" s="146"/>
      <c r="AA307" s="146"/>
      <c r="AB307" s="203"/>
      <c r="AD307" s="259"/>
      <c r="AE307" s="259"/>
      <c r="AF307" s="259"/>
      <c r="AG307" s="259"/>
      <c r="AH307" s="259"/>
      <c r="AI307" s="259"/>
      <c r="AJ307" s="259"/>
      <c r="AK307" s="259"/>
      <c r="AL307" s="259"/>
      <c r="AM307" s="259"/>
      <c r="AN307" s="259"/>
      <c r="AO307" s="259"/>
    </row>
    <row r="308" spans="1:41" s="120" customFormat="1" ht="12" x14ac:dyDescent="0.25">
      <c r="A308" s="131"/>
      <c r="B308" s="131"/>
      <c r="C308" s="131"/>
      <c r="D308" s="131"/>
      <c r="E308" s="131"/>
      <c r="F308" s="46"/>
      <c r="G308" s="45"/>
      <c r="H308" s="116">
        <f t="shared" si="159"/>
        <v>33</v>
      </c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114"/>
      <c r="X308" s="146"/>
      <c r="Y308" s="146"/>
      <c r="Z308" s="146"/>
      <c r="AA308" s="146"/>
      <c r="AB308" s="316"/>
      <c r="AD308" s="259"/>
      <c r="AE308" s="259"/>
      <c r="AF308" s="259"/>
      <c r="AG308" s="259"/>
      <c r="AH308" s="259"/>
      <c r="AI308" s="259"/>
      <c r="AJ308" s="259"/>
      <c r="AK308" s="259"/>
      <c r="AL308" s="259"/>
      <c r="AM308" s="259"/>
      <c r="AN308" s="259"/>
      <c r="AO308" s="259"/>
    </row>
    <row r="309" spans="1:41" s="120" customFormat="1" ht="12" x14ac:dyDescent="0.25">
      <c r="A309" s="131" t="s">
        <v>30</v>
      </c>
      <c r="B309" s="131"/>
      <c r="C309" s="131"/>
      <c r="D309" s="131"/>
      <c r="E309" s="131"/>
      <c r="F309" s="46">
        <v>1000</v>
      </c>
      <c r="G309" s="46"/>
      <c r="H309" s="116">
        <f t="shared" si="159"/>
        <v>34</v>
      </c>
      <c r="J309" s="289" t="s">
        <v>101</v>
      </c>
      <c r="K309" s="46"/>
      <c r="L309" s="146"/>
      <c r="M309" s="260"/>
      <c r="N309" s="306"/>
      <c r="O309" s="290">
        <v>1414.0000000000005</v>
      </c>
      <c r="P309" s="289" t="str">
        <f>P310</f>
        <v>Odkupna cena; vir podatkov SURS; preračuni KIS</v>
      </c>
      <c r="Q309" s="290">
        <v>1414.0000000000002</v>
      </c>
      <c r="R309" s="290">
        <v>1414.0000000000002</v>
      </c>
      <c r="S309" s="290">
        <v>1414.0000000000002</v>
      </c>
      <c r="T309" s="290">
        <v>1414.0000000000005</v>
      </c>
      <c r="U309" s="290">
        <v>1414.0000000000002</v>
      </c>
      <c r="V309" s="290"/>
      <c r="W309" s="294"/>
      <c r="X309" s="257"/>
      <c r="Y309" s="257"/>
      <c r="Z309" s="257"/>
      <c r="AA309" s="257"/>
      <c r="AB309" s="203"/>
      <c r="AD309" s="259"/>
      <c r="AE309" s="259"/>
      <c r="AF309" s="259"/>
      <c r="AG309" s="259"/>
      <c r="AH309" s="259"/>
      <c r="AI309" s="259"/>
      <c r="AJ309" s="259"/>
      <c r="AK309" s="259"/>
      <c r="AL309" s="259"/>
      <c r="AM309" s="259"/>
      <c r="AN309" s="259"/>
      <c r="AO309" s="259"/>
    </row>
    <row r="310" spans="1:41" s="120" customFormat="1" ht="12" x14ac:dyDescent="0.25">
      <c r="A310" s="131"/>
      <c r="B310" s="131"/>
      <c r="C310" s="131"/>
      <c r="D310" s="131"/>
      <c r="E310" s="131"/>
      <c r="F310" s="46"/>
      <c r="G310" s="45"/>
      <c r="H310" s="116">
        <f t="shared" si="159"/>
        <v>35</v>
      </c>
      <c r="J310" s="291" t="str">
        <f>+J273</f>
        <v>Bruto dodana vrednost</v>
      </c>
      <c r="K310" s="46"/>
      <c r="L310" s="257"/>
      <c r="M310" s="258"/>
      <c r="N310" s="257"/>
      <c r="O310" s="292">
        <f>O298+O297+O285-O283</f>
        <v>27749.541889776141</v>
      </c>
      <c r="P310" s="288" t="s">
        <v>101</v>
      </c>
      <c r="Q310" s="292">
        <f t="shared" ref="Q310:U310" si="181">Q298+Q297+Q285-Q283</f>
        <v>46263.419141319464</v>
      </c>
      <c r="R310" s="292">
        <f t="shared" si="181"/>
        <v>39848.972000052534</v>
      </c>
      <c r="S310" s="292">
        <f t="shared" si="181"/>
        <v>33745.990153443083</v>
      </c>
      <c r="T310" s="292">
        <f t="shared" si="181"/>
        <v>27749.541889776141</v>
      </c>
      <c r="U310" s="292">
        <f t="shared" si="181"/>
        <v>21953.4991189092</v>
      </c>
      <c r="V310" s="292"/>
      <c r="W310" s="114"/>
      <c r="X310" s="146"/>
      <c r="Y310" s="146"/>
      <c r="Z310" s="146"/>
      <c r="AA310" s="146"/>
      <c r="AB310" s="316"/>
      <c r="AD310" s="259"/>
      <c r="AE310" s="259"/>
      <c r="AF310" s="259"/>
      <c r="AG310" s="259"/>
      <c r="AH310" s="259"/>
      <c r="AI310" s="259"/>
      <c r="AJ310" s="259"/>
      <c r="AK310" s="259"/>
      <c r="AL310" s="259"/>
      <c r="AM310" s="259"/>
      <c r="AN310" s="259"/>
      <c r="AO310" s="259"/>
    </row>
    <row r="311" spans="1:41" s="120" customFormat="1" ht="12" x14ac:dyDescent="0.25">
      <c r="A311" s="196" t="s">
        <v>26</v>
      </c>
      <c r="B311" s="131"/>
      <c r="C311" s="131"/>
      <c r="D311" s="131"/>
      <c r="E311" s="131"/>
      <c r="F311" s="46"/>
      <c r="G311" s="146"/>
      <c r="H311" s="116">
        <f t="shared" si="159"/>
        <v>36</v>
      </c>
      <c r="J311" s="275" t="s">
        <v>26</v>
      </c>
      <c r="K311" s="128"/>
      <c r="L311" s="146"/>
      <c r="M311" s="260"/>
      <c r="N311" s="146"/>
      <c r="O311" s="117">
        <v>3620.2677420998452</v>
      </c>
      <c r="P311" s="124"/>
      <c r="Q311" s="117">
        <v>4072.0621470294482</v>
      </c>
      <c r="R311" s="117">
        <v>3926.928478112548</v>
      </c>
      <c r="S311" s="117">
        <v>3765.4014110167459</v>
      </c>
      <c r="T311" s="117">
        <v>3620.2677420998452</v>
      </c>
      <c r="U311" s="117">
        <v>3475.1340731829446</v>
      </c>
      <c r="V311" s="252"/>
      <c r="W311" s="294"/>
      <c r="X311" s="257"/>
      <c r="Y311" s="257"/>
      <c r="Z311" s="257"/>
      <c r="AA311" s="257"/>
      <c r="AB311" s="203"/>
      <c r="AD311" s="259"/>
      <c r="AE311" s="259"/>
      <c r="AF311" s="259"/>
      <c r="AG311" s="259"/>
      <c r="AH311" s="259"/>
      <c r="AI311" s="259"/>
      <c r="AJ311" s="259"/>
      <c r="AK311" s="259"/>
      <c r="AL311" s="259"/>
      <c r="AM311" s="259"/>
      <c r="AN311" s="259"/>
      <c r="AO311" s="259"/>
    </row>
    <row r="312" spans="1:41" s="120" customFormat="1" ht="12" x14ac:dyDescent="0.25">
      <c r="A312" s="131"/>
      <c r="B312" s="131"/>
      <c r="C312" s="131"/>
      <c r="D312" s="131"/>
      <c r="E312" s="131"/>
      <c r="F312" s="46"/>
      <c r="G312" s="146"/>
      <c r="H312" s="116">
        <f t="shared" si="159"/>
        <v>37</v>
      </c>
      <c r="J312" s="46" t="s">
        <v>190</v>
      </c>
      <c r="K312" s="128"/>
      <c r="L312" s="146"/>
      <c r="M312" s="260"/>
      <c r="N312" s="146"/>
      <c r="O312" s="313">
        <f>+O310-O311</f>
        <v>24129.274147676297</v>
      </c>
      <c r="P312" s="124"/>
      <c r="Q312" s="313">
        <f t="shared" ref="Q312:U312" si="182">+Q310-Q311</f>
        <v>42191.356994290014</v>
      </c>
      <c r="R312" s="313">
        <f t="shared" si="182"/>
        <v>35922.043521939988</v>
      </c>
      <c r="S312" s="313">
        <f t="shared" si="182"/>
        <v>29980.588742426338</v>
      </c>
      <c r="T312" s="313">
        <f t="shared" si="182"/>
        <v>24129.274147676297</v>
      </c>
      <c r="U312" s="313">
        <f t="shared" si="182"/>
        <v>18478.365045726256</v>
      </c>
      <c r="V312" s="252"/>
      <c r="W312" s="294"/>
      <c r="X312" s="257"/>
      <c r="Y312" s="257"/>
      <c r="Z312" s="257"/>
      <c r="AA312" s="257"/>
      <c r="AB312" s="203"/>
      <c r="AD312" s="259"/>
      <c r="AE312" s="259"/>
      <c r="AF312" s="259"/>
      <c r="AG312" s="259"/>
      <c r="AH312" s="259"/>
      <c r="AI312" s="259"/>
      <c r="AJ312" s="259"/>
      <c r="AK312" s="259"/>
      <c r="AL312" s="259"/>
      <c r="AM312" s="259"/>
      <c r="AN312" s="259"/>
      <c r="AO312" s="259"/>
    </row>
    <row r="313" spans="1:41" s="120" customFormat="1" ht="12" x14ac:dyDescent="0.25">
      <c r="A313" s="131"/>
      <c r="B313" s="131"/>
      <c r="C313" s="131"/>
      <c r="D313" s="131"/>
      <c r="E313" s="131"/>
      <c r="F313" s="198"/>
      <c r="G313" s="198"/>
      <c r="H313" s="145">
        <f>1</f>
        <v>1</v>
      </c>
      <c r="I313" s="145" t="str">
        <f>+J315</f>
        <v>Breskve namizne</v>
      </c>
      <c r="J313" s="144" t="s">
        <v>148</v>
      </c>
      <c r="K313" s="145"/>
      <c r="L313" s="145"/>
      <c r="M313" s="145"/>
      <c r="N313" s="145"/>
      <c r="O313" s="238">
        <f>O321-O333+O326-'2023'!E293</f>
        <v>8.9420000036379843E-3</v>
      </c>
      <c r="P313" s="145"/>
      <c r="Q313" s="238">
        <f>Q321-Q333+Q326-'2023'!H293</f>
        <v>5.961333333333374E-3</v>
      </c>
      <c r="R313" s="238">
        <f>R321-R333+R326-'2023'!I293</f>
        <v>7.153600003637961E-3</v>
      </c>
      <c r="S313" s="238">
        <f>S321-S333+S326-'2023'!J293</f>
        <v>8.9420000036379843E-3</v>
      </c>
      <c r="T313" s="238">
        <f>T321-T333+T326-'2023'!K293</f>
        <v>1.1922666666666748E-2</v>
      </c>
      <c r="U313" s="238"/>
      <c r="V313" s="238"/>
      <c r="W313" s="145"/>
      <c r="X313" s="145"/>
      <c r="Y313" s="145"/>
      <c r="Z313" s="145"/>
      <c r="AA313" s="145"/>
      <c r="AB313" s="198"/>
      <c r="AD313" s="259"/>
      <c r="AE313" s="259"/>
      <c r="AF313" s="259"/>
      <c r="AG313" s="259"/>
      <c r="AH313" s="259"/>
      <c r="AI313" s="259"/>
      <c r="AJ313" s="259"/>
      <c r="AK313" s="259"/>
      <c r="AL313" s="259"/>
      <c r="AM313" s="259"/>
      <c r="AN313" s="259"/>
      <c r="AO313" s="259"/>
    </row>
    <row r="314" spans="1:41" s="120" customFormat="1" ht="12" x14ac:dyDescent="0.25">
      <c r="A314" s="131"/>
      <c r="B314" s="131"/>
      <c r="C314" s="131"/>
      <c r="D314" s="131"/>
      <c r="E314" s="131"/>
      <c r="G314" s="199"/>
      <c r="H314" s="116">
        <f>H313+1</f>
        <v>2</v>
      </c>
      <c r="I314" s="120" t="str">
        <f>+I313</f>
        <v>Breskve namizne</v>
      </c>
      <c r="J314" s="118" t="s">
        <v>149</v>
      </c>
      <c r="K314" s="119"/>
      <c r="L314" s="119"/>
      <c r="M314" s="241"/>
      <c r="N314" s="119"/>
      <c r="O314" s="297" t="e">
        <f>#REF!</f>
        <v>#REF!</v>
      </c>
      <c r="P314" s="297"/>
      <c r="Q314" s="242" t="s">
        <v>135</v>
      </c>
      <c r="R314" s="242" t="s">
        <v>211</v>
      </c>
      <c r="S314" s="242" t="s">
        <v>134</v>
      </c>
      <c r="T314" s="242" t="s">
        <v>212</v>
      </c>
      <c r="U314" s="242"/>
      <c r="V314" s="119"/>
      <c r="W314" s="119"/>
      <c r="X314" s="242"/>
      <c r="Y314" s="242"/>
      <c r="Z314" s="119"/>
      <c r="AA314" s="119"/>
      <c r="AB314" s="198"/>
      <c r="AD314" s="259"/>
      <c r="AE314" s="259"/>
      <c r="AF314" s="259"/>
      <c r="AG314" s="259"/>
      <c r="AH314" s="259"/>
      <c r="AI314" s="259"/>
      <c r="AJ314" s="259"/>
      <c r="AK314" s="259"/>
      <c r="AL314" s="259"/>
      <c r="AM314" s="259"/>
      <c r="AN314" s="259"/>
      <c r="AO314" s="259"/>
    </row>
    <row r="315" spans="1:41" s="120" customFormat="1" ht="12" x14ac:dyDescent="0.25">
      <c r="A315" s="131"/>
      <c r="B315" s="131"/>
      <c r="C315" s="131"/>
      <c r="D315" s="131"/>
      <c r="E315" s="131"/>
      <c r="F315" s="120" t="e">
        <f>#REF!</f>
        <v>#REF!</v>
      </c>
      <c r="G315" s="199"/>
      <c r="H315" s="116">
        <f t="shared" ref="H315:H349" si="183">H314+1</f>
        <v>3</v>
      </c>
      <c r="I315" s="120" t="str">
        <f>+I314</f>
        <v>Breskve namizne</v>
      </c>
      <c r="J315" s="122" t="s">
        <v>267</v>
      </c>
      <c r="K315" s="46" t="str">
        <f>+K$56</f>
        <v>Enota</v>
      </c>
      <c r="L315" s="186"/>
      <c r="M315" s="243"/>
      <c r="N315" s="237"/>
      <c r="O315" s="191"/>
      <c r="P315" s="191"/>
      <c r="Q315" s="46"/>
      <c r="R315" s="46"/>
      <c r="S315" s="191"/>
      <c r="T315" s="46"/>
      <c r="U315" s="191"/>
      <c r="X315" s="120" t="s">
        <v>88</v>
      </c>
      <c r="AD315" s="259"/>
      <c r="AE315" s="259"/>
      <c r="AF315" s="259"/>
      <c r="AG315" s="259"/>
      <c r="AH315" s="259"/>
      <c r="AI315" s="259"/>
      <c r="AJ315" s="259"/>
      <c r="AK315" s="259"/>
      <c r="AL315" s="259"/>
      <c r="AM315" s="259"/>
      <c r="AN315" s="259"/>
      <c r="AO315" s="259"/>
    </row>
    <row r="316" spans="1:41" s="120" customFormat="1" ht="12" x14ac:dyDescent="0.25">
      <c r="A316" s="131"/>
      <c r="B316" s="131"/>
      <c r="C316" s="131"/>
      <c r="D316" s="131"/>
      <c r="E316" s="131"/>
      <c r="G316" s="199"/>
      <c r="H316" s="116">
        <f t="shared" si="183"/>
        <v>4</v>
      </c>
      <c r="I316" s="120" t="str">
        <f>+I315</f>
        <v>Breskve namizne</v>
      </c>
      <c r="J316" s="45" t="s">
        <v>84</v>
      </c>
      <c r="K316" s="46"/>
      <c r="L316" s="186"/>
      <c r="M316" s="243"/>
      <c r="N316" s="237"/>
      <c r="O316" s="191"/>
      <c r="P316" s="191"/>
      <c r="Q316" s="186" t="s">
        <v>87</v>
      </c>
      <c r="R316" s="186" t="s">
        <v>86</v>
      </c>
      <c r="S316" s="186" t="s">
        <v>85</v>
      </c>
      <c r="T316" s="186"/>
      <c r="U316" s="186"/>
      <c r="V316" s="186"/>
      <c r="W316" s="186"/>
      <c r="X316" s="237" t="s">
        <v>82</v>
      </c>
      <c r="Y316" s="186" t="s">
        <v>81</v>
      </c>
      <c r="Z316" s="186"/>
      <c r="AA316" s="186"/>
      <c r="AD316" s="259"/>
      <c r="AE316" s="259"/>
      <c r="AF316" s="259"/>
      <c r="AG316" s="259"/>
      <c r="AH316" s="259"/>
      <c r="AI316" s="259"/>
      <c r="AJ316" s="259"/>
      <c r="AK316" s="259"/>
      <c r="AL316" s="259"/>
      <c r="AM316" s="259"/>
      <c r="AN316" s="259"/>
      <c r="AO316" s="259"/>
    </row>
    <row r="317" spans="1:41" s="120" customFormat="1" ht="12" x14ac:dyDescent="0.25">
      <c r="A317" s="131" t="s">
        <v>22</v>
      </c>
      <c r="B317" s="131"/>
      <c r="C317" s="131"/>
      <c r="D317" s="131"/>
      <c r="E317" s="131"/>
      <c r="F317" s="46"/>
      <c r="G317" s="199"/>
      <c r="H317" s="116">
        <f t="shared" si="183"/>
        <v>5</v>
      </c>
      <c r="I317" s="120" t="str">
        <f>+I316</f>
        <v>Breskve namizne</v>
      </c>
      <c r="J317" s="45" t="s">
        <v>21</v>
      </c>
      <c r="K317" s="46" t="s">
        <v>20</v>
      </c>
      <c r="L317" s="245"/>
      <c r="M317" s="298"/>
      <c r="N317" s="247"/>
      <c r="O317" s="252">
        <v>20000</v>
      </c>
      <c r="P317" s="46"/>
      <c r="Q317" s="252">
        <v>30000</v>
      </c>
      <c r="R317" s="252">
        <v>25000</v>
      </c>
      <c r="S317" s="252">
        <v>20000</v>
      </c>
      <c r="T317" s="252">
        <v>15000</v>
      </c>
      <c r="U317" s="252"/>
      <c r="V317" s="252"/>
      <c r="W317" s="186"/>
      <c r="X317" s="240">
        <f>Q317/$S317*100</f>
        <v>150</v>
      </c>
      <c r="Y317" s="240">
        <f t="shared" ref="Y317:AA317" si="184">R317/$S317*100</f>
        <v>125</v>
      </c>
      <c r="Z317" s="240">
        <f t="shared" si="184"/>
        <v>100</v>
      </c>
      <c r="AA317" s="240">
        <f t="shared" si="184"/>
        <v>75</v>
      </c>
      <c r="AB317" s="240">
        <f>U317/$S317*100</f>
        <v>0</v>
      </c>
      <c r="AD317" s="259"/>
      <c r="AE317" s="259"/>
      <c r="AF317" s="259"/>
      <c r="AG317" s="259"/>
      <c r="AH317" s="259"/>
      <c r="AI317" s="259"/>
      <c r="AJ317" s="259"/>
      <c r="AK317" s="259"/>
      <c r="AL317" s="259"/>
      <c r="AM317" s="259"/>
      <c r="AN317" s="259"/>
      <c r="AO317" s="259"/>
    </row>
    <row r="318" spans="1:41" s="120" customFormat="1" ht="12" x14ac:dyDescent="0.25">
      <c r="A318" s="131" t="s">
        <v>95</v>
      </c>
      <c r="B318" s="131"/>
      <c r="C318" s="131"/>
      <c r="D318" s="131"/>
      <c r="E318" s="131"/>
      <c r="F318" s="46"/>
      <c r="G318" s="199"/>
      <c r="H318" s="116">
        <f t="shared" si="183"/>
        <v>6</v>
      </c>
      <c r="J318" s="45"/>
      <c r="K318" s="46"/>
      <c r="L318" s="245"/>
      <c r="M318" s="298"/>
      <c r="N318" s="247"/>
      <c r="O318" s="245"/>
      <c r="P318" s="46"/>
      <c r="Q318" s="245"/>
      <c r="R318" s="245"/>
      <c r="S318" s="245"/>
      <c r="T318" s="245"/>
      <c r="U318" s="245"/>
      <c r="V318" s="245"/>
      <c r="W318" s="186"/>
      <c r="X318" s="186"/>
      <c r="Y318" s="186"/>
      <c r="Z318" s="186"/>
      <c r="AA318" s="186"/>
      <c r="AD318" s="259"/>
      <c r="AE318" s="259"/>
      <c r="AF318" s="259"/>
      <c r="AG318" s="259"/>
      <c r="AH318" s="259"/>
      <c r="AI318" s="259"/>
      <c r="AJ318" s="259"/>
      <c r="AK318" s="259"/>
      <c r="AL318" s="259"/>
      <c r="AM318" s="259"/>
      <c r="AN318" s="259"/>
      <c r="AO318" s="259"/>
    </row>
    <row r="319" spans="1:41" s="120" customFormat="1" ht="12" x14ac:dyDescent="0.25">
      <c r="A319" s="131" t="s">
        <v>91</v>
      </c>
      <c r="B319" s="131"/>
      <c r="C319" s="131"/>
      <c r="D319" s="131"/>
      <c r="E319" s="131"/>
      <c r="F319" s="46"/>
      <c r="G319" s="199"/>
      <c r="H319" s="116">
        <f t="shared" si="183"/>
        <v>7</v>
      </c>
      <c r="I319" s="120" t="str">
        <f>+I317</f>
        <v>Breskve namizne</v>
      </c>
      <c r="J319" s="45" t="s">
        <v>90</v>
      </c>
      <c r="K319" s="46" t="s">
        <v>89</v>
      </c>
      <c r="L319" s="186"/>
      <c r="M319" s="243"/>
      <c r="N319" s="237"/>
      <c r="O319" s="251">
        <v>0.5</v>
      </c>
      <c r="P319" s="146"/>
      <c r="Q319" s="251">
        <v>0.5</v>
      </c>
      <c r="R319" s="251">
        <v>0.5</v>
      </c>
      <c r="S319" s="251">
        <v>0.5</v>
      </c>
      <c r="T319" s="251">
        <v>0.5</v>
      </c>
      <c r="U319" s="251"/>
      <c r="V319" s="252"/>
      <c r="W319" s="186"/>
      <c r="X319" s="240"/>
      <c r="Y319" s="240"/>
      <c r="Z319" s="240"/>
      <c r="AA319" s="240"/>
      <c r="AD319" s="259"/>
      <c r="AE319" s="259"/>
      <c r="AF319" s="259"/>
      <c r="AG319" s="259"/>
      <c r="AH319" s="259"/>
      <c r="AI319" s="259"/>
      <c r="AJ319" s="259"/>
      <c r="AK319" s="259"/>
      <c r="AL319" s="259"/>
      <c r="AM319" s="259"/>
      <c r="AN319" s="259"/>
      <c r="AO319" s="259"/>
    </row>
    <row r="320" spans="1:41" s="120" customFormat="1" ht="12" x14ac:dyDescent="0.25">
      <c r="A320" s="196" t="s">
        <v>27</v>
      </c>
      <c r="B320" s="131"/>
      <c r="C320" s="131"/>
      <c r="D320" s="131"/>
      <c r="E320" s="131"/>
      <c r="F320" s="46"/>
      <c r="G320" s="199"/>
      <c r="H320" s="116">
        <f t="shared" si="183"/>
        <v>8</v>
      </c>
      <c r="I320" s="120" t="str">
        <f>+I315</f>
        <v>Breskve namizne</v>
      </c>
      <c r="J320" s="45" t="str">
        <f>+J$61</f>
        <v>Kupljen material in storitve</v>
      </c>
      <c r="K320" s="46"/>
      <c r="L320" s="46"/>
      <c r="M320" s="229"/>
      <c r="N320" s="46"/>
      <c r="O320" s="252">
        <v>8563.836993537032</v>
      </c>
      <c r="P320" s="46"/>
      <c r="Q320" s="252">
        <v>11415.587606511681</v>
      </c>
      <c r="R320" s="252">
        <v>9988.375132054085</v>
      </c>
      <c r="S320" s="252">
        <v>8563.836993537032</v>
      </c>
      <c r="T320" s="252">
        <v>7095.6530584349484</v>
      </c>
      <c r="U320" s="252"/>
      <c r="V320" s="252"/>
      <c r="W320" s="245"/>
      <c r="X320" s="240">
        <f t="shared" ref="X320:X335" si="185">Q320/$S320*100</f>
        <v>133.29991702465628</v>
      </c>
      <c r="Y320" s="240">
        <f t="shared" ref="Y320:Y335" si="186">R320/$S320*100</f>
        <v>116.6343443901621</v>
      </c>
      <c r="Z320" s="240">
        <f t="shared" ref="Z320:Z335" si="187">S320/$S320*100</f>
        <v>100</v>
      </c>
      <c r="AA320" s="240">
        <f t="shared" ref="AA320:AA335" si="188">T320/$S320*100</f>
        <v>82.856003258701733</v>
      </c>
      <c r="AB320" s="240">
        <f t="shared" ref="AB320:AB335" si="189">U320/$S320*100</f>
        <v>0</v>
      </c>
      <c r="AD320" s="259"/>
      <c r="AE320" s="259"/>
      <c r="AF320" s="259"/>
      <c r="AG320" s="259"/>
      <c r="AH320" s="259"/>
      <c r="AI320" s="259"/>
      <c r="AJ320" s="259"/>
      <c r="AK320" s="259"/>
      <c r="AL320" s="259"/>
      <c r="AM320" s="259"/>
      <c r="AN320" s="259"/>
      <c r="AO320" s="259"/>
    </row>
    <row r="321" spans="1:41" s="120" customFormat="1" ht="12" x14ac:dyDescent="0.25">
      <c r="A321" s="131" t="s">
        <v>6</v>
      </c>
      <c r="B321" s="131"/>
      <c r="C321" s="131"/>
      <c r="D321" s="131"/>
      <c r="E321" s="131"/>
      <c r="F321" s="46"/>
      <c r="G321" s="46"/>
      <c r="H321" s="116">
        <f t="shared" si="183"/>
        <v>9</v>
      </c>
      <c r="I321" s="120" t="str">
        <f t="shared" ref="I321:I348" si="190">+I320</f>
        <v>Breskve namizne</v>
      </c>
      <c r="J321" s="45" t="str">
        <f>+J$62</f>
        <v>Stroški skupaj</v>
      </c>
      <c r="K321" s="46" t="str">
        <f>+K$62</f>
        <v>EUR/ha</v>
      </c>
      <c r="L321" s="125"/>
      <c r="M321" s="307"/>
      <c r="N321" s="124"/>
      <c r="O321" s="252">
        <v>20741.784544789258</v>
      </c>
      <c r="P321" s="124"/>
      <c r="Q321" s="252">
        <v>25034.732718547653</v>
      </c>
      <c r="R321" s="252">
        <v>22945.524762665416</v>
      </c>
      <c r="S321" s="252">
        <v>20741.784544789258</v>
      </c>
      <c r="T321" s="252">
        <v>18609.048147836686</v>
      </c>
      <c r="U321" s="252"/>
      <c r="V321" s="252"/>
      <c r="W321" s="249"/>
      <c r="X321" s="240">
        <f t="shared" si="185"/>
        <v>120.69710137277877</v>
      </c>
      <c r="Y321" s="240">
        <f t="shared" si="186"/>
        <v>110.62464135194085</v>
      </c>
      <c r="Z321" s="240">
        <f t="shared" si="187"/>
        <v>100</v>
      </c>
      <c r="AA321" s="240">
        <f t="shared" si="188"/>
        <v>89.717681271121108</v>
      </c>
      <c r="AB321" s="240">
        <f t="shared" si="189"/>
        <v>0</v>
      </c>
      <c r="AD321" s="259"/>
      <c r="AE321" s="259"/>
      <c r="AF321" s="259"/>
      <c r="AG321" s="259"/>
      <c r="AH321" s="259"/>
      <c r="AI321" s="259"/>
      <c r="AJ321" s="259"/>
      <c r="AK321" s="259"/>
      <c r="AL321" s="259"/>
      <c r="AM321" s="259"/>
      <c r="AN321" s="259"/>
      <c r="AO321" s="259"/>
    </row>
    <row r="322" spans="1:41" s="120" customFormat="1" ht="12" x14ac:dyDescent="0.25">
      <c r="A322" s="131" t="s">
        <v>5</v>
      </c>
      <c r="B322" s="131"/>
      <c r="C322" s="131"/>
      <c r="D322" s="131"/>
      <c r="E322" s="131"/>
      <c r="F322" s="46"/>
      <c r="G322" s="46"/>
      <c r="H322" s="116">
        <f t="shared" si="183"/>
        <v>10</v>
      </c>
      <c r="I322" s="120" t="str">
        <f t="shared" si="190"/>
        <v>Breskve namizne</v>
      </c>
      <c r="J322" s="45" t="str">
        <f>+J$63</f>
        <v>Stranski pridelki</v>
      </c>
      <c r="K322" s="46" t="str">
        <f>+K$63</f>
        <v>EUR/ha</v>
      </c>
      <c r="L322" s="125"/>
      <c r="M322" s="307"/>
      <c r="N322" s="125"/>
      <c r="O322" s="252">
        <v>0</v>
      </c>
      <c r="P322" s="125"/>
      <c r="Q322" s="252">
        <v>0</v>
      </c>
      <c r="R322" s="252">
        <v>0</v>
      </c>
      <c r="S322" s="252">
        <v>0</v>
      </c>
      <c r="T322" s="252">
        <v>0</v>
      </c>
      <c r="U322" s="252"/>
      <c r="V322" s="252"/>
      <c r="W322" s="294"/>
      <c r="X322" s="240" t="e">
        <f t="shared" si="185"/>
        <v>#DIV/0!</v>
      </c>
      <c r="Y322" s="240" t="e">
        <f t="shared" si="186"/>
        <v>#DIV/0!</v>
      </c>
      <c r="Z322" s="240" t="e">
        <f t="shared" si="187"/>
        <v>#DIV/0!</v>
      </c>
      <c r="AA322" s="240" t="e">
        <f t="shared" si="188"/>
        <v>#DIV/0!</v>
      </c>
      <c r="AB322" s="240" t="e">
        <f t="shared" si="189"/>
        <v>#DIV/0!</v>
      </c>
      <c r="AD322" s="259"/>
      <c r="AE322" s="259"/>
      <c r="AF322" s="259"/>
      <c r="AG322" s="259"/>
      <c r="AH322" s="259"/>
      <c r="AI322" s="259"/>
      <c r="AJ322" s="259"/>
      <c r="AK322" s="259"/>
      <c r="AL322" s="259"/>
      <c r="AM322" s="259"/>
      <c r="AN322" s="259"/>
      <c r="AO322" s="259"/>
    </row>
    <row r="323" spans="1:41" s="120" customFormat="1" ht="12" x14ac:dyDescent="0.25">
      <c r="A323" s="131"/>
      <c r="B323" s="131"/>
      <c r="C323" s="131"/>
      <c r="D323" s="131"/>
      <c r="E323" s="131"/>
      <c r="F323" s="46"/>
      <c r="G323" s="46"/>
      <c r="H323" s="116">
        <f t="shared" si="183"/>
        <v>11</v>
      </c>
      <c r="I323" s="120" t="str">
        <f t="shared" si="190"/>
        <v>Breskve namizne</v>
      </c>
      <c r="J323" s="45" t="str">
        <f>+J$64</f>
        <v>Stroški glavnega pridelka</v>
      </c>
      <c r="K323" s="46" t="str">
        <f>+K$64</f>
        <v>EUR/ha</v>
      </c>
      <c r="L323" s="308"/>
      <c r="M323" s="307"/>
      <c r="N323" s="308"/>
      <c r="O323" s="262">
        <f>+O321-O322</f>
        <v>20741.784544789258</v>
      </c>
      <c r="P323" s="125"/>
      <c r="Q323" s="262">
        <f t="shared" ref="Q323:T323" si="191">+Q321-Q322</f>
        <v>25034.732718547653</v>
      </c>
      <c r="R323" s="262">
        <f t="shared" si="191"/>
        <v>22945.524762665416</v>
      </c>
      <c r="S323" s="262">
        <f t="shared" si="191"/>
        <v>20741.784544789258</v>
      </c>
      <c r="T323" s="262">
        <f t="shared" si="191"/>
        <v>18609.048147836686</v>
      </c>
      <c r="U323" s="262"/>
      <c r="V323" s="262"/>
      <c r="W323" s="114"/>
      <c r="X323" s="240">
        <f t="shared" si="185"/>
        <v>120.69710137277877</v>
      </c>
      <c r="Y323" s="240">
        <f t="shared" si="186"/>
        <v>110.62464135194085</v>
      </c>
      <c r="Z323" s="240">
        <f t="shared" si="187"/>
        <v>100</v>
      </c>
      <c r="AA323" s="240">
        <f t="shared" si="188"/>
        <v>89.717681271121108</v>
      </c>
      <c r="AB323" s="240">
        <f t="shared" si="189"/>
        <v>0</v>
      </c>
      <c r="AD323" s="259"/>
      <c r="AE323" s="259"/>
      <c r="AF323" s="259"/>
      <c r="AG323" s="259"/>
      <c r="AH323" s="259"/>
      <c r="AI323" s="259"/>
      <c r="AJ323" s="259"/>
      <c r="AK323" s="259"/>
      <c r="AL323" s="259"/>
      <c r="AM323" s="259"/>
      <c r="AN323" s="259"/>
      <c r="AO323" s="259"/>
    </row>
    <row r="324" spans="1:41" s="120" customFormat="1" ht="12" x14ac:dyDescent="0.25">
      <c r="A324" s="131" t="s">
        <v>4</v>
      </c>
      <c r="B324" s="131" t="s">
        <v>0</v>
      </c>
      <c r="C324" s="131" t="s">
        <v>2</v>
      </c>
      <c r="D324" s="131" t="s">
        <v>1</v>
      </c>
      <c r="E324" s="131" t="s">
        <v>0</v>
      </c>
      <c r="F324" s="46"/>
      <c r="G324" s="46"/>
      <c r="H324" s="116">
        <f t="shared" si="183"/>
        <v>12</v>
      </c>
      <c r="I324" s="120" t="str">
        <f t="shared" si="190"/>
        <v>Breskve namizne</v>
      </c>
      <c r="J324" s="45" t="str">
        <f>+J$65</f>
        <v>Subvencije</v>
      </c>
      <c r="K324" s="46" t="str">
        <f>+K$65</f>
        <v>EUR/ha</v>
      </c>
      <c r="L324" s="125"/>
      <c r="M324" s="307"/>
      <c r="N324" s="125"/>
      <c r="O324" s="252">
        <v>23.94</v>
      </c>
      <c r="P324" s="125"/>
      <c r="Q324" s="252">
        <v>23.94</v>
      </c>
      <c r="R324" s="252">
        <v>23.94</v>
      </c>
      <c r="S324" s="252">
        <v>23.94</v>
      </c>
      <c r="T324" s="252">
        <v>23.94</v>
      </c>
      <c r="U324" s="252"/>
      <c r="V324" s="252"/>
      <c r="W324" s="114"/>
      <c r="X324" s="240">
        <f t="shared" si="185"/>
        <v>100</v>
      </c>
      <c r="Y324" s="240">
        <f t="shared" si="186"/>
        <v>100</v>
      </c>
      <c r="Z324" s="240">
        <f t="shared" si="187"/>
        <v>100</v>
      </c>
      <c r="AA324" s="240">
        <f t="shared" si="188"/>
        <v>100</v>
      </c>
      <c r="AB324" s="240">
        <f t="shared" si="189"/>
        <v>0</v>
      </c>
      <c r="AC324" s="199"/>
      <c r="AD324" s="259"/>
      <c r="AE324" s="259"/>
      <c r="AF324" s="259"/>
      <c r="AG324" s="259"/>
      <c r="AH324" s="259"/>
      <c r="AI324" s="259"/>
      <c r="AJ324" s="259"/>
      <c r="AK324" s="259"/>
      <c r="AL324" s="259"/>
      <c r="AM324" s="259"/>
      <c r="AN324" s="259"/>
      <c r="AO324" s="259"/>
    </row>
    <row r="325" spans="1:41" s="120" customFormat="1" ht="12" x14ac:dyDescent="0.25">
      <c r="A325" s="131"/>
      <c r="B325" s="131"/>
      <c r="C325" s="131" t="s">
        <v>13</v>
      </c>
      <c r="D325" s="131"/>
      <c r="E325" s="131"/>
      <c r="F325" s="46"/>
      <c r="G325" s="46"/>
      <c r="H325" s="116">
        <f t="shared" si="183"/>
        <v>13</v>
      </c>
      <c r="I325" s="120" t="str">
        <f t="shared" si="190"/>
        <v>Breskve namizne</v>
      </c>
      <c r="J325" s="45" t="str">
        <f>+J$66</f>
        <v>Stroški, zmanjšani za subvencije</v>
      </c>
      <c r="K325" s="46" t="str">
        <f>+K$66</f>
        <v>EUR/ha</v>
      </c>
      <c r="L325" s="308"/>
      <c r="M325" s="307"/>
      <c r="N325" s="308"/>
      <c r="O325" s="264">
        <f>+O323-O324</f>
        <v>20717.844544789259</v>
      </c>
      <c r="P325" s="125"/>
      <c r="Q325" s="264">
        <f t="shared" ref="Q325:T325" si="192">+Q323-Q324</f>
        <v>25010.792718547655</v>
      </c>
      <c r="R325" s="264">
        <f t="shared" si="192"/>
        <v>22921.584762665418</v>
      </c>
      <c r="S325" s="264">
        <f t="shared" si="192"/>
        <v>20717.844544789259</v>
      </c>
      <c r="T325" s="264">
        <f t="shared" si="192"/>
        <v>18585.108147836687</v>
      </c>
      <c r="U325" s="264"/>
      <c r="V325" s="264"/>
      <c r="W325" s="114"/>
      <c r="X325" s="240">
        <f t="shared" si="185"/>
        <v>120.72101740351225</v>
      </c>
      <c r="Y325" s="240">
        <f t="shared" si="186"/>
        <v>110.63691839714292</v>
      </c>
      <c r="Z325" s="240">
        <f t="shared" si="187"/>
        <v>100</v>
      </c>
      <c r="AA325" s="240">
        <f t="shared" si="188"/>
        <v>89.70579978847762</v>
      </c>
      <c r="AB325" s="240">
        <f t="shared" si="189"/>
        <v>0</v>
      </c>
      <c r="AD325" s="259"/>
      <c r="AE325" s="259"/>
      <c r="AF325" s="259"/>
      <c r="AG325" s="259"/>
      <c r="AH325" s="259"/>
      <c r="AI325" s="259"/>
      <c r="AJ325" s="259"/>
      <c r="AK325" s="259"/>
      <c r="AL325" s="259"/>
      <c r="AM325" s="259"/>
      <c r="AN325" s="259"/>
      <c r="AO325" s="259"/>
    </row>
    <row r="326" spans="1:41" s="120" customFormat="1" ht="12" x14ac:dyDescent="0.25">
      <c r="A326" s="131"/>
      <c r="B326" s="131"/>
      <c r="C326" s="131"/>
      <c r="D326" s="131"/>
      <c r="E326" s="131"/>
      <c r="F326" s="46"/>
      <c r="G326" s="133"/>
      <c r="H326" s="116">
        <f t="shared" si="183"/>
        <v>14</v>
      </c>
      <c r="I326" s="120" t="str">
        <f t="shared" si="190"/>
        <v>Breskve namizne</v>
      </c>
      <c r="J326" s="45" t="str">
        <f>+J$67</f>
        <v>Stroški, zmanjšani za subvencije/kg</v>
      </c>
      <c r="K326" s="46" t="str">
        <f>+K$67</f>
        <v>EUR/kg</v>
      </c>
      <c r="L326" s="309"/>
      <c r="M326" s="310"/>
      <c r="N326" s="308"/>
      <c r="O326" s="270">
        <f>+O325/O317</f>
        <v>1.0358922272394631</v>
      </c>
      <c r="P326" s="311"/>
      <c r="Q326" s="270">
        <f t="shared" ref="Q326:T326" si="193">+Q325/Q317</f>
        <v>0.83369309061825514</v>
      </c>
      <c r="R326" s="270">
        <f t="shared" si="193"/>
        <v>0.91686339050661669</v>
      </c>
      <c r="S326" s="270">
        <f t="shared" si="193"/>
        <v>1.0358922272394631</v>
      </c>
      <c r="T326" s="270">
        <f t="shared" si="193"/>
        <v>1.2390072098557792</v>
      </c>
      <c r="U326" s="270"/>
      <c r="V326" s="270"/>
      <c r="W326" s="114"/>
      <c r="X326" s="240">
        <f t="shared" si="185"/>
        <v>80.480678269008152</v>
      </c>
      <c r="Y326" s="240">
        <f t="shared" si="186"/>
        <v>88.509534717714317</v>
      </c>
      <c r="Z326" s="240">
        <f t="shared" si="187"/>
        <v>100</v>
      </c>
      <c r="AA326" s="240">
        <f t="shared" si="188"/>
        <v>119.6077330513035</v>
      </c>
      <c r="AB326" s="240">
        <f t="shared" si="189"/>
        <v>0</v>
      </c>
      <c r="AD326" s="259"/>
      <c r="AE326" s="259"/>
      <c r="AF326" s="259"/>
      <c r="AG326" s="259"/>
      <c r="AH326" s="259"/>
      <c r="AI326" s="259"/>
      <c r="AJ326" s="259"/>
      <c r="AK326" s="259"/>
      <c r="AL326" s="259"/>
      <c r="AM326" s="259"/>
      <c r="AN326" s="259"/>
      <c r="AO326" s="259"/>
    </row>
    <row r="327" spans="1:41" s="120" customFormat="1" ht="12" x14ac:dyDescent="0.25">
      <c r="A327" s="131" t="s">
        <v>169</v>
      </c>
      <c r="B327" s="131"/>
      <c r="C327" s="131"/>
      <c r="D327" s="131"/>
      <c r="E327" s="131"/>
      <c r="F327" s="46"/>
      <c r="G327" s="46"/>
      <c r="H327" s="116">
        <f t="shared" si="183"/>
        <v>15</v>
      </c>
      <c r="I327" s="120" t="str">
        <f t="shared" si="190"/>
        <v>Breskve namizne</v>
      </c>
      <c r="J327" s="45" t="str">
        <f t="shared" ref="J327" si="194">+J290</f>
        <v>davek_a</v>
      </c>
      <c r="K327" s="46"/>
      <c r="L327" s="125"/>
      <c r="M327" s="307"/>
      <c r="N327" s="125"/>
      <c r="O327" s="117">
        <v>0</v>
      </c>
      <c r="P327" s="125"/>
      <c r="Q327" s="117">
        <v>0</v>
      </c>
      <c r="R327" s="117">
        <v>0</v>
      </c>
      <c r="S327" s="117">
        <v>0</v>
      </c>
      <c r="T327" s="117">
        <v>0</v>
      </c>
      <c r="U327" s="117"/>
      <c r="V327" s="117"/>
      <c r="W327" s="315"/>
      <c r="X327" s="240" t="e">
        <f t="shared" si="185"/>
        <v>#DIV/0!</v>
      </c>
      <c r="Y327" s="240" t="e">
        <f t="shared" si="186"/>
        <v>#DIV/0!</v>
      </c>
      <c r="Z327" s="240" t="e">
        <f t="shared" si="187"/>
        <v>#DIV/0!</v>
      </c>
      <c r="AA327" s="240" t="e">
        <f t="shared" si="188"/>
        <v>#DIV/0!</v>
      </c>
      <c r="AB327" s="240" t="e">
        <f t="shared" si="189"/>
        <v>#DIV/0!</v>
      </c>
      <c r="AD327" s="259"/>
      <c r="AE327" s="259"/>
      <c r="AF327" s="259"/>
      <c r="AG327" s="259"/>
      <c r="AH327" s="259"/>
      <c r="AI327" s="259"/>
      <c r="AJ327" s="259"/>
      <c r="AK327" s="259"/>
      <c r="AL327" s="259"/>
      <c r="AM327" s="259"/>
      <c r="AN327" s="259"/>
      <c r="AO327" s="259"/>
    </row>
    <row r="328" spans="1:41" s="120" customFormat="1" ht="12" x14ac:dyDescent="0.25">
      <c r="A328" s="46" t="s">
        <v>113</v>
      </c>
      <c r="B328" s="131"/>
      <c r="C328" s="131"/>
      <c r="D328" s="131"/>
      <c r="E328" s="131"/>
      <c r="F328" s="46"/>
      <c r="G328" s="46"/>
      <c r="H328" s="116">
        <f t="shared" si="183"/>
        <v>16</v>
      </c>
      <c r="I328" s="120" t="str">
        <f t="shared" si="190"/>
        <v>Breskve namizne</v>
      </c>
      <c r="J328" s="45" t="str">
        <f t="shared" ref="J328:J333" si="195">+A328</f>
        <v>Pokoj obvezno</v>
      </c>
      <c r="K328" s="46"/>
      <c r="L328" s="125"/>
      <c r="M328" s="307"/>
      <c r="N328" s="125"/>
      <c r="O328" s="117">
        <v>546.93119215827937</v>
      </c>
      <c r="P328" s="125"/>
      <c r="Q328" s="117">
        <v>650.8263370598961</v>
      </c>
      <c r="R328" s="117">
        <v>602.25806432588558</v>
      </c>
      <c r="S328" s="117">
        <v>546.93119215827937</v>
      </c>
      <c r="T328" s="117">
        <v>498.23315673963111</v>
      </c>
      <c r="U328" s="117"/>
      <c r="V328" s="117"/>
      <c r="W328" s="114"/>
      <c r="X328" s="240">
        <f t="shared" si="185"/>
        <v>118.99601748651958</v>
      </c>
      <c r="Y328" s="240">
        <f t="shared" si="186"/>
        <v>110.11587434779089</v>
      </c>
      <c r="Z328" s="240">
        <f t="shared" si="187"/>
        <v>100</v>
      </c>
      <c r="AA328" s="240">
        <f t="shared" si="188"/>
        <v>91.096131265346585</v>
      </c>
      <c r="AB328" s="240">
        <f t="shared" si="189"/>
        <v>0</v>
      </c>
      <c r="AD328" s="259"/>
      <c r="AE328" s="259"/>
      <c r="AF328" s="259"/>
      <c r="AG328" s="259"/>
      <c r="AH328" s="259"/>
      <c r="AI328" s="259"/>
      <c r="AJ328" s="259"/>
      <c r="AK328" s="259"/>
      <c r="AL328" s="259"/>
      <c r="AM328" s="259"/>
      <c r="AN328" s="259"/>
      <c r="AO328" s="259"/>
    </row>
    <row r="329" spans="1:41" s="120" customFormat="1" ht="12" x14ac:dyDescent="0.25">
      <c r="A329" s="46" t="s">
        <v>112</v>
      </c>
      <c r="B329" s="131"/>
      <c r="C329" s="131"/>
      <c r="D329" s="131"/>
      <c r="E329" s="131"/>
      <c r="F329" s="46"/>
      <c r="G329" s="46"/>
      <c r="H329" s="116">
        <f t="shared" si="183"/>
        <v>17</v>
      </c>
      <c r="I329" s="120" t="str">
        <f t="shared" si="190"/>
        <v>Breskve namizne</v>
      </c>
      <c r="J329" s="45" t="str">
        <f t="shared" si="195"/>
        <v>Zdrav obvezno</v>
      </c>
      <c r="K329" s="46"/>
      <c r="L329" s="124"/>
      <c r="M329" s="312"/>
      <c r="N329" s="124"/>
      <c r="O329" s="117">
        <v>250.17691305820645</v>
      </c>
      <c r="P329" s="124"/>
      <c r="Q329" s="117">
        <v>297.70056320997821</v>
      </c>
      <c r="R329" s="117">
        <v>275.48449523035663</v>
      </c>
      <c r="S329" s="117">
        <v>250.17691305820645</v>
      </c>
      <c r="T329" s="117">
        <v>227.90148911509573</v>
      </c>
      <c r="U329" s="117"/>
      <c r="V329" s="117"/>
      <c r="W329" s="114"/>
      <c r="X329" s="240">
        <f t="shared" si="185"/>
        <v>118.99601748651958</v>
      </c>
      <c r="Y329" s="240">
        <f t="shared" si="186"/>
        <v>110.11587434779086</v>
      </c>
      <c r="Z329" s="240">
        <f t="shared" si="187"/>
        <v>100</v>
      </c>
      <c r="AA329" s="240">
        <f t="shared" si="188"/>
        <v>91.096131265346585</v>
      </c>
      <c r="AB329" s="240">
        <f t="shared" si="189"/>
        <v>0</v>
      </c>
      <c r="AD329" s="259"/>
      <c r="AE329" s="259"/>
      <c r="AF329" s="259"/>
      <c r="AG329" s="259"/>
      <c r="AH329" s="259"/>
      <c r="AI329" s="259"/>
      <c r="AJ329" s="259"/>
      <c r="AK329" s="259"/>
      <c r="AL329" s="259"/>
      <c r="AM329" s="259"/>
      <c r="AN329" s="259"/>
      <c r="AO329" s="259"/>
    </row>
    <row r="330" spans="1:41" s="120" customFormat="1" ht="12" x14ac:dyDescent="0.25">
      <c r="A330" s="46" t="s">
        <v>111</v>
      </c>
      <c r="B330" s="131"/>
      <c r="C330" s="131"/>
      <c r="D330" s="131"/>
      <c r="E330" s="131"/>
      <c r="F330" s="46"/>
      <c r="G330" s="46"/>
      <c r="H330" s="116">
        <f t="shared" si="183"/>
        <v>18</v>
      </c>
      <c r="I330" s="120" t="str">
        <f t="shared" si="190"/>
        <v>Breskve namizne</v>
      </c>
      <c r="J330" s="45" t="str">
        <f t="shared" si="195"/>
        <v>Pokoj dodatno</v>
      </c>
      <c r="K330" s="46"/>
      <c r="L330" s="125"/>
      <c r="M330" s="307"/>
      <c r="N330" s="125"/>
      <c r="O330" s="117">
        <v>462.16437168340974</v>
      </c>
      <c r="P330" s="125"/>
      <c r="Q330" s="117">
        <v>549.95719654485356</v>
      </c>
      <c r="R330" s="117">
        <v>508.91633880316067</v>
      </c>
      <c r="S330" s="117">
        <v>462.16437168340974</v>
      </c>
      <c r="T330" s="117">
        <v>421.01386269038323</v>
      </c>
      <c r="U330" s="117"/>
      <c r="V330" s="117"/>
      <c r="W330" s="294"/>
      <c r="X330" s="240">
        <f t="shared" si="185"/>
        <v>118.99601748651958</v>
      </c>
      <c r="Y330" s="240">
        <f t="shared" si="186"/>
        <v>110.11587434779089</v>
      </c>
      <c r="Z330" s="240">
        <f t="shared" si="187"/>
        <v>100</v>
      </c>
      <c r="AA330" s="240">
        <f t="shared" si="188"/>
        <v>91.096131265346585</v>
      </c>
      <c r="AB330" s="240">
        <f t="shared" si="189"/>
        <v>0</v>
      </c>
      <c r="AD330" s="259"/>
      <c r="AE330" s="259"/>
      <c r="AF330" s="259"/>
      <c r="AG330" s="259"/>
      <c r="AH330" s="259"/>
      <c r="AI330" s="259"/>
      <c r="AJ330" s="259"/>
      <c r="AK330" s="259"/>
      <c r="AL330" s="259"/>
      <c r="AM330" s="259"/>
      <c r="AN330" s="259"/>
      <c r="AO330" s="259"/>
    </row>
    <row r="331" spans="1:41" s="120" customFormat="1" ht="12" x14ac:dyDescent="0.25">
      <c r="A331" s="46" t="s">
        <v>110</v>
      </c>
      <c r="B331" s="131"/>
      <c r="C331" s="131"/>
      <c r="D331" s="131"/>
      <c r="E331" s="131"/>
      <c r="F331" s="46"/>
      <c r="G331" s="46"/>
      <c r="H331" s="116">
        <f t="shared" si="183"/>
        <v>19</v>
      </c>
      <c r="I331" s="120" t="str">
        <f t="shared" si="190"/>
        <v>Breskve namizne</v>
      </c>
      <c r="J331" s="45" t="str">
        <f t="shared" si="195"/>
        <v>Zdrav dodatno</v>
      </c>
      <c r="K331" s="46"/>
      <c r="L331" s="124"/>
      <c r="M331" s="312"/>
      <c r="N331" s="124"/>
      <c r="O331" s="117">
        <v>211.40292872486285</v>
      </c>
      <c r="P331" s="124"/>
      <c r="Q331" s="117">
        <v>251.56106603245235</v>
      </c>
      <c r="R331" s="117">
        <v>232.78818336221988</v>
      </c>
      <c r="S331" s="117">
        <v>211.40292872486285</v>
      </c>
      <c r="T331" s="117">
        <v>192.57988944998814</v>
      </c>
      <c r="U331" s="117"/>
      <c r="V331" s="117"/>
      <c r="W331" s="114"/>
      <c r="X331" s="240">
        <f t="shared" si="185"/>
        <v>118.99601748651961</v>
      </c>
      <c r="Y331" s="240">
        <f t="shared" si="186"/>
        <v>110.11587434779089</v>
      </c>
      <c r="Z331" s="240">
        <f t="shared" si="187"/>
        <v>100</v>
      </c>
      <c r="AA331" s="240">
        <f t="shared" si="188"/>
        <v>91.096131265346585</v>
      </c>
      <c r="AB331" s="240">
        <f t="shared" si="189"/>
        <v>0</v>
      </c>
      <c r="AD331" s="259"/>
      <c r="AE331" s="259"/>
      <c r="AF331" s="259"/>
      <c r="AG331" s="259"/>
      <c r="AH331" s="259"/>
      <c r="AI331" s="259"/>
      <c r="AJ331" s="259"/>
      <c r="AK331" s="259"/>
      <c r="AL331" s="259"/>
      <c r="AM331" s="259"/>
      <c r="AN331" s="259"/>
      <c r="AO331" s="259"/>
    </row>
    <row r="332" spans="1:41" s="120" customFormat="1" ht="12" x14ac:dyDescent="0.25">
      <c r="A332" s="46" t="s">
        <v>109</v>
      </c>
      <c r="B332" s="131"/>
      <c r="C332" s="131"/>
      <c r="D332" s="131"/>
      <c r="E332" s="131"/>
      <c r="F332" s="46"/>
      <c r="G332" s="46"/>
      <c r="H332" s="116">
        <f t="shared" si="183"/>
        <v>20</v>
      </c>
      <c r="I332" s="120" t="str">
        <f t="shared" si="190"/>
        <v>Breskve namizne</v>
      </c>
      <c r="J332" s="45" t="str">
        <f t="shared" si="195"/>
        <v>Regresi</v>
      </c>
      <c r="K332" s="46"/>
      <c r="L332" s="125"/>
      <c r="M332" s="307"/>
      <c r="N332" s="125"/>
      <c r="O332" s="117">
        <v>1386.6040037269784</v>
      </c>
      <c r="P332" s="125"/>
      <c r="Q332" s="117">
        <v>1650.0035427437363</v>
      </c>
      <c r="R332" s="117">
        <v>1526.8711224454371</v>
      </c>
      <c r="S332" s="117">
        <v>1386.6040037269784</v>
      </c>
      <c r="T332" s="117">
        <v>1263.1426033656796</v>
      </c>
      <c r="U332" s="117"/>
      <c r="V332" s="117"/>
      <c r="W332" s="294"/>
      <c r="X332" s="240">
        <f t="shared" si="185"/>
        <v>118.99601748651962</v>
      </c>
      <c r="Y332" s="240">
        <f t="shared" si="186"/>
        <v>110.11587434779089</v>
      </c>
      <c r="Z332" s="240">
        <f t="shared" si="187"/>
        <v>100</v>
      </c>
      <c r="AA332" s="240">
        <f t="shared" si="188"/>
        <v>91.0961312653466</v>
      </c>
      <c r="AB332" s="240">
        <f t="shared" si="189"/>
        <v>0</v>
      </c>
      <c r="AD332" s="259"/>
      <c r="AE332" s="259"/>
      <c r="AF332" s="259"/>
      <c r="AG332" s="259"/>
      <c r="AH332" s="259"/>
      <c r="AI332" s="259"/>
      <c r="AJ332" s="259"/>
      <c r="AK332" s="259"/>
      <c r="AL332" s="259"/>
      <c r="AM332" s="259"/>
      <c r="AN332" s="259"/>
      <c r="AO332" s="259"/>
    </row>
    <row r="333" spans="1:41" s="120" customFormat="1" ht="12" x14ac:dyDescent="0.25">
      <c r="A333" s="131" t="s">
        <v>28</v>
      </c>
      <c r="B333" s="131"/>
      <c r="C333" s="131"/>
      <c r="D333" s="131"/>
      <c r="E333" s="131"/>
      <c r="F333" s="46"/>
      <c r="G333" s="46"/>
      <c r="H333" s="116">
        <f t="shared" si="183"/>
        <v>21</v>
      </c>
      <c r="I333" s="120" t="str">
        <f t="shared" si="190"/>
        <v>Breskve namizne</v>
      </c>
      <c r="J333" s="45" t="str">
        <f t="shared" si="195"/>
        <v>SUM element</v>
      </c>
      <c r="K333" s="46"/>
      <c r="L333" s="146"/>
      <c r="M333" s="260"/>
      <c r="N333" s="146"/>
      <c r="O333" s="252">
        <v>20741.784544789254</v>
      </c>
      <c r="P333" s="263"/>
      <c r="Q333" s="252">
        <v>25034.732718547653</v>
      </c>
      <c r="R333" s="252">
        <v>22945.524762665413</v>
      </c>
      <c r="S333" s="252">
        <v>20741.784544789254</v>
      </c>
      <c r="T333" s="252">
        <v>18609.048147836686</v>
      </c>
      <c r="U333" s="252"/>
      <c r="V333" s="252"/>
      <c r="W333" s="294"/>
      <c r="X333" s="240">
        <f t="shared" si="185"/>
        <v>120.6971013727788</v>
      </c>
      <c r="Y333" s="240">
        <f t="shared" si="186"/>
        <v>110.62464135194085</v>
      </c>
      <c r="Z333" s="240">
        <f t="shared" si="187"/>
        <v>100</v>
      </c>
      <c r="AA333" s="240">
        <f t="shared" si="188"/>
        <v>89.717681271121137</v>
      </c>
      <c r="AB333" s="240">
        <f t="shared" si="189"/>
        <v>0</v>
      </c>
      <c r="AD333" s="259"/>
      <c r="AE333" s="259"/>
      <c r="AF333" s="259"/>
      <c r="AG333" s="259"/>
      <c r="AH333" s="259"/>
      <c r="AI333" s="259"/>
      <c r="AJ333" s="259"/>
      <c r="AK333" s="259"/>
      <c r="AL333" s="259"/>
      <c r="AM333" s="259"/>
      <c r="AN333" s="259"/>
      <c r="AO333" s="259"/>
    </row>
    <row r="334" spans="1:41" s="120" customFormat="1" ht="12" x14ac:dyDescent="0.25">
      <c r="A334" s="131" t="s">
        <v>4</v>
      </c>
      <c r="B334" s="131" t="s">
        <v>0</v>
      </c>
      <c r="C334" s="131" t="s">
        <v>2</v>
      </c>
      <c r="D334" s="131" t="s">
        <v>1</v>
      </c>
      <c r="E334" s="131" t="s">
        <v>0</v>
      </c>
      <c r="F334" s="46"/>
      <c r="G334" s="46"/>
      <c r="H334" s="116">
        <f t="shared" si="183"/>
        <v>22</v>
      </c>
      <c r="I334" s="120" t="str">
        <f t="shared" si="190"/>
        <v>Breskve namizne</v>
      </c>
      <c r="J334" s="190" t="str">
        <f t="shared" ref="J334" si="196">+J297</f>
        <v>Subvencije</v>
      </c>
      <c r="K334" s="46"/>
      <c r="L334" s="146"/>
      <c r="M334" s="260"/>
      <c r="N334" s="146"/>
      <c r="O334" s="276">
        <v>23.94</v>
      </c>
      <c r="P334" s="303"/>
      <c r="Q334" s="276">
        <v>23.94</v>
      </c>
      <c r="R334" s="276">
        <v>23.94</v>
      </c>
      <c r="S334" s="276">
        <v>23.94</v>
      </c>
      <c r="T334" s="276">
        <v>23.94</v>
      </c>
      <c r="U334" s="276"/>
      <c r="V334" s="252"/>
      <c r="W334" s="294"/>
      <c r="X334" s="240">
        <f t="shared" si="185"/>
        <v>100</v>
      </c>
      <c r="Y334" s="240">
        <f t="shared" si="186"/>
        <v>100</v>
      </c>
      <c r="Z334" s="240">
        <f t="shared" si="187"/>
        <v>100</v>
      </c>
      <c r="AA334" s="240">
        <f t="shared" si="188"/>
        <v>100</v>
      </c>
      <c r="AB334" s="240">
        <f t="shared" si="189"/>
        <v>0</v>
      </c>
      <c r="AD334" s="259"/>
      <c r="AE334" s="259"/>
      <c r="AF334" s="259"/>
      <c r="AG334" s="259"/>
      <c r="AH334" s="259"/>
      <c r="AI334" s="259"/>
      <c r="AJ334" s="259"/>
      <c r="AK334" s="259"/>
      <c r="AL334" s="259"/>
      <c r="AM334" s="259"/>
      <c r="AN334" s="259"/>
      <c r="AO334" s="259"/>
    </row>
    <row r="335" spans="1:41" s="120" customFormat="1" ht="13.5" customHeight="1" x14ac:dyDescent="0.25">
      <c r="A335" s="196" t="s">
        <v>29</v>
      </c>
      <c r="B335" s="131"/>
      <c r="C335" s="131"/>
      <c r="D335" s="131"/>
      <c r="E335" s="131"/>
      <c r="F335" s="46"/>
      <c r="G335" s="46"/>
      <c r="H335" s="116">
        <f t="shared" si="183"/>
        <v>23</v>
      </c>
      <c r="I335" s="120" t="str">
        <f t="shared" si="190"/>
        <v>Breskve namizne</v>
      </c>
      <c r="J335" s="291" t="str">
        <f>+J298</f>
        <v>Vrednost pridelave_tržna</v>
      </c>
      <c r="K335" s="46"/>
      <c r="L335" s="146"/>
      <c r="M335" s="260"/>
      <c r="N335" s="146"/>
      <c r="O335" s="276">
        <v>33420</v>
      </c>
      <c r="P335" s="303"/>
      <c r="Q335" s="276">
        <v>50130</v>
      </c>
      <c r="R335" s="276">
        <v>41775</v>
      </c>
      <c r="S335" s="276">
        <v>33420</v>
      </c>
      <c r="T335" s="276">
        <v>25065</v>
      </c>
      <c r="U335" s="276"/>
      <c r="V335" s="302"/>
      <c r="W335" s="294"/>
      <c r="X335" s="240">
        <f t="shared" si="185"/>
        <v>150</v>
      </c>
      <c r="Y335" s="240">
        <f t="shared" si="186"/>
        <v>125</v>
      </c>
      <c r="Z335" s="240">
        <f t="shared" si="187"/>
        <v>100</v>
      </c>
      <c r="AA335" s="240">
        <f t="shared" si="188"/>
        <v>75</v>
      </c>
      <c r="AB335" s="240">
        <f t="shared" si="189"/>
        <v>0</v>
      </c>
      <c r="AD335" s="259"/>
      <c r="AE335" s="259"/>
      <c r="AF335" s="259"/>
      <c r="AG335" s="259"/>
      <c r="AH335" s="259"/>
      <c r="AI335" s="259"/>
      <c r="AJ335" s="259"/>
      <c r="AK335" s="259"/>
      <c r="AL335" s="259"/>
      <c r="AM335" s="259"/>
      <c r="AN335" s="259"/>
      <c r="AO335" s="259"/>
    </row>
    <row r="336" spans="1:41" s="120" customFormat="1" ht="12" x14ac:dyDescent="0.25">
      <c r="A336" s="131"/>
      <c r="B336" s="131"/>
      <c r="C336" s="131"/>
      <c r="D336" s="131"/>
      <c r="E336" s="131"/>
      <c r="F336" s="46"/>
      <c r="G336" s="133"/>
      <c r="H336" s="116">
        <f t="shared" si="183"/>
        <v>24</v>
      </c>
      <c r="I336" s="120" t="str">
        <f t="shared" si="190"/>
        <v>Breskve namizne</v>
      </c>
      <c r="J336" s="72"/>
      <c r="K336" s="128"/>
      <c r="L336" s="278"/>
      <c r="M336" s="279"/>
      <c r="N336" s="272"/>
      <c r="O336" s="280">
        <f>+O321-O334-O322</f>
        <v>20717.844544789259</v>
      </c>
      <c r="P336" s="146" t="s">
        <v>108</v>
      </c>
      <c r="Q336" s="280">
        <f t="shared" ref="Q336:T336" si="197">+Q321-Q334-Q322</f>
        <v>25010.792718547655</v>
      </c>
      <c r="R336" s="280">
        <f t="shared" si="197"/>
        <v>22921.584762665418</v>
      </c>
      <c r="S336" s="280">
        <f t="shared" si="197"/>
        <v>20717.844544789259</v>
      </c>
      <c r="T336" s="280">
        <f t="shared" si="197"/>
        <v>18585.108147836687</v>
      </c>
      <c r="U336" s="280"/>
      <c r="V336" s="280"/>
      <c r="W336" s="294"/>
      <c r="X336" s="240">
        <f t="shared" ref="X336:Y338" si="198">R336/$Q336*100</f>
        <v>91.646774337012886</v>
      </c>
      <c r="Y336" s="240">
        <f t="shared" si="198"/>
        <v>82.835617319019221</v>
      </c>
      <c r="Z336" s="240"/>
      <c r="AA336" s="240"/>
      <c r="AB336" s="301"/>
      <c r="AD336" s="259"/>
      <c r="AE336" s="259"/>
      <c r="AF336" s="259"/>
      <c r="AG336" s="259"/>
      <c r="AH336" s="259"/>
      <c r="AI336" s="259"/>
      <c r="AJ336" s="259"/>
      <c r="AK336" s="259"/>
      <c r="AL336" s="259"/>
      <c r="AM336" s="259"/>
      <c r="AN336" s="259"/>
      <c r="AO336" s="259"/>
    </row>
    <row r="337" spans="1:41" s="120" customFormat="1" ht="12" x14ac:dyDescent="0.25">
      <c r="A337" s="131"/>
      <c r="B337" s="131"/>
      <c r="C337" s="131"/>
      <c r="D337" s="131"/>
      <c r="E337" s="131"/>
      <c r="F337" s="46"/>
      <c r="G337" s="128"/>
      <c r="H337" s="116">
        <f t="shared" si="183"/>
        <v>25</v>
      </c>
      <c r="I337" s="120" t="str">
        <f t="shared" si="190"/>
        <v>Breskve namizne</v>
      </c>
      <c r="J337" s="72"/>
      <c r="K337" s="128"/>
      <c r="L337" s="278"/>
      <c r="M337" s="279"/>
      <c r="N337" s="272"/>
      <c r="O337" s="280">
        <f>O336-O328-O329</f>
        <v>19920.736439572775</v>
      </c>
      <c r="P337" s="146" t="s">
        <v>107</v>
      </c>
      <c r="Q337" s="280">
        <f t="shared" ref="Q337:T337" si="199">Q336-Q328-Q329</f>
        <v>24062.265818277778</v>
      </c>
      <c r="R337" s="280">
        <f t="shared" si="199"/>
        <v>22043.842203109176</v>
      </c>
      <c r="S337" s="280">
        <f t="shared" si="199"/>
        <v>19920.736439572775</v>
      </c>
      <c r="T337" s="280">
        <f t="shared" si="199"/>
        <v>17858.97350198196</v>
      </c>
      <c r="U337" s="280"/>
      <c r="V337" s="280"/>
      <c r="W337" s="304"/>
      <c r="X337" s="272">
        <f t="shared" si="198"/>
        <v>91.611664377693799</v>
      </c>
      <c r="Y337" s="272">
        <f t="shared" si="198"/>
        <v>82.788281826896437</v>
      </c>
      <c r="Z337" s="272"/>
      <c r="AA337" s="272"/>
      <c r="AB337" s="301"/>
      <c r="AD337" s="259"/>
      <c r="AE337" s="259"/>
      <c r="AF337" s="259"/>
      <c r="AG337" s="259"/>
      <c r="AH337" s="259"/>
      <c r="AI337" s="259"/>
      <c r="AJ337" s="259"/>
      <c r="AK337" s="259"/>
      <c r="AL337" s="259"/>
      <c r="AM337" s="259"/>
      <c r="AN337" s="259"/>
      <c r="AO337" s="259"/>
    </row>
    <row r="338" spans="1:41" s="317" customFormat="1" ht="12" x14ac:dyDescent="0.25">
      <c r="A338" s="131"/>
      <c r="B338" s="131"/>
      <c r="C338" s="131"/>
      <c r="D338" s="131"/>
      <c r="E338" s="131"/>
      <c r="F338" s="46"/>
      <c r="G338" s="45"/>
      <c r="H338" s="116">
        <f t="shared" si="183"/>
        <v>26</v>
      </c>
      <c r="I338" s="120" t="str">
        <f t="shared" si="190"/>
        <v>Breskve namizne</v>
      </c>
      <c r="J338" s="45"/>
      <c r="K338" s="46"/>
      <c r="L338" s="257"/>
      <c r="M338" s="258"/>
      <c r="N338" s="272"/>
      <c r="O338" s="280">
        <f>O337-O330-O331-O332</f>
        <v>17860.565135437522</v>
      </c>
      <c r="P338" s="146" t="s">
        <v>106</v>
      </c>
      <c r="Q338" s="280">
        <f t="shared" ref="Q338:T338" si="200">Q337-Q330-Q331-Q332</f>
        <v>21610.744012956737</v>
      </c>
      <c r="R338" s="280">
        <f t="shared" si="200"/>
        <v>19775.266558498359</v>
      </c>
      <c r="S338" s="280">
        <f t="shared" si="200"/>
        <v>17860.565135437522</v>
      </c>
      <c r="T338" s="280">
        <f t="shared" si="200"/>
        <v>15982.237146475909</v>
      </c>
      <c r="U338" s="280"/>
      <c r="V338" s="280"/>
      <c r="W338" s="304"/>
      <c r="X338" s="272">
        <f t="shared" si="198"/>
        <v>91.506643855676998</v>
      </c>
      <c r="Y338" s="272">
        <f t="shared" si="198"/>
        <v>82.646692426365362</v>
      </c>
      <c r="Z338" s="272"/>
      <c r="AA338" s="272"/>
      <c r="AB338" s="316"/>
      <c r="AC338" s="120"/>
      <c r="AD338" s="259"/>
      <c r="AE338" s="259"/>
      <c r="AF338" s="259"/>
      <c r="AG338" s="259"/>
      <c r="AH338" s="259"/>
      <c r="AI338" s="259"/>
      <c r="AJ338" s="259"/>
      <c r="AK338" s="259"/>
      <c r="AL338" s="259"/>
      <c r="AM338" s="259"/>
      <c r="AN338" s="259"/>
      <c r="AO338" s="259"/>
    </row>
    <row r="339" spans="1:41" s="120" customFormat="1" ht="12" x14ac:dyDescent="0.25">
      <c r="A339" s="131"/>
      <c r="B339" s="131"/>
      <c r="C339" s="131"/>
      <c r="D339" s="131"/>
      <c r="E339" s="131"/>
      <c r="F339" s="46"/>
      <c r="G339" s="46"/>
      <c r="H339" s="116">
        <f t="shared" si="183"/>
        <v>27</v>
      </c>
      <c r="I339" s="120" t="str">
        <f t="shared" si="190"/>
        <v>Breskve namizne</v>
      </c>
      <c r="J339" s="46"/>
      <c r="K339" s="46"/>
      <c r="L339" s="146"/>
      <c r="M339" s="260"/>
      <c r="N339" s="146"/>
      <c r="O339" s="282"/>
      <c r="P339" s="277"/>
      <c r="Q339" s="282"/>
      <c r="R339" s="282"/>
      <c r="S339" s="282"/>
      <c r="T339" s="282"/>
      <c r="U339" s="282"/>
      <c r="V339" s="282"/>
      <c r="W339" s="304"/>
      <c r="X339" s="257"/>
      <c r="Y339" s="257"/>
      <c r="Z339" s="257"/>
      <c r="AA339" s="257"/>
      <c r="AB339" s="203"/>
      <c r="AD339" s="259"/>
      <c r="AE339" s="259"/>
      <c r="AF339" s="259"/>
      <c r="AG339" s="259"/>
      <c r="AH339" s="259"/>
      <c r="AI339" s="259"/>
      <c r="AJ339" s="259"/>
      <c r="AK339" s="259"/>
      <c r="AL339" s="259"/>
      <c r="AM339" s="259"/>
      <c r="AN339" s="259"/>
      <c r="AO339" s="259"/>
    </row>
    <row r="340" spans="1:41" s="120" customFormat="1" ht="12" x14ac:dyDescent="0.25">
      <c r="A340" s="131"/>
      <c r="B340" s="131"/>
      <c r="C340" s="131"/>
      <c r="D340" s="131"/>
      <c r="E340" s="131"/>
      <c r="F340" s="46"/>
      <c r="G340" s="46"/>
      <c r="H340" s="116">
        <f t="shared" si="183"/>
        <v>28</v>
      </c>
      <c r="I340" s="120" t="str">
        <f t="shared" si="190"/>
        <v>Breskve namizne</v>
      </c>
      <c r="J340" s="45"/>
      <c r="K340" s="46"/>
      <c r="L340" s="146"/>
      <c r="M340" s="260"/>
      <c r="N340" s="146"/>
      <c r="O340" s="285" t="str">
        <f>+O317&amp;";"&amp;O319</f>
        <v>20000;0,5</v>
      </c>
      <c r="P340" s="305"/>
      <c r="Q340" s="285" t="str">
        <f t="shared" ref="Q340:T340" si="201">+Q317&amp;";"&amp;Q319</f>
        <v>30000;0,5</v>
      </c>
      <c r="R340" s="285" t="str">
        <f t="shared" si="201"/>
        <v>25000;0,5</v>
      </c>
      <c r="S340" s="285" t="str">
        <f t="shared" si="201"/>
        <v>20000;0,5</v>
      </c>
      <c r="T340" s="285" t="str">
        <f t="shared" si="201"/>
        <v>15000;0,5</v>
      </c>
      <c r="U340" s="285"/>
      <c r="V340" s="285"/>
      <c r="W340" s="114"/>
      <c r="X340" s="146"/>
      <c r="Y340" s="146"/>
      <c r="Z340" s="146"/>
      <c r="AA340" s="146"/>
      <c r="AB340" s="203"/>
      <c r="AD340" s="259"/>
      <c r="AE340" s="259"/>
      <c r="AF340" s="259"/>
      <c r="AG340" s="259"/>
      <c r="AH340" s="259"/>
      <c r="AI340" s="259"/>
      <c r="AJ340" s="259"/>
      <c r="AK340" s="259"/>
      <c r="AL340" s="259"/>
      <c r="AM340" s="259"/>
      <c r="AN340" s="259"/>
      <c r="AO340" s="259"/>
    </row>
    <row r="341" spans="1:41" s="120" customFormat="1" ht="12.75" customHeight="1" x14ac:dyDescent="0.25">
      <c r="A341" s="131"/>
      <c r="B341" s="131"/>
      <c r="C341" s="131"/>
      <c r="D341" s="131"/>
      <c r="E341" s="131"/>
      <c r="F341" s="46"/>
      <c r="G341" s="46"/>
      <c r="H341" s="116">
        <f t="shared" si="183"/>
        <v>29</v>
      </c>
      <c r="I341" s="120" t="str">
        <f t="shared" si="190"/>
        <v>Breskve namizne</v>
      </c>
      <c r="J341" s="46"/>
      <c r="K341" s="46"/>
      <c r="L341" s="146"/>
      <c r="M341" s="260"/>
      <c r="N341" s="146"/>
      <c r="O341" s="287">
        <f>+O336/O317*1000</f>
        <v>1035.892227239463</v>
      </c>
      <c r="P341" s="273" t="s">
        <v>105</v>
      </c>
      <c r="Q341" s="287">
        <f t="shared" ref="Q341:T341" si="202">+Q336/Q317*1000</f>
        <v>833.69309061825516</v>
      </c>
      <c r="R341" s="287">
        <f t="shared" si="202"/>
        <v>916.86339050661672</v>
      </c>
      <c r="S341" s="287">
        <f t="shared" si="202"/>
        <v>1035.892227239463</v>
      </c>
      <c r="T341" s="287">
        <f t="shared" si="202"/>
        <v>1239.0072098557791</v>
      </c>
      <c r="U341" s="287"/>
      <c r="V341" s="287"/>
      <c r="W341" s="114"/>
      <c r="X341" s="146">
        <f t="shared" ref="X341:Y348" si="203">R341/$Q341*100</f>
        <v>109.97612920441546</v>
      </c>
      <c r="Y341" s="146">
        <f t="shared" si="203"/>
        <v>124.25342597852882</v>
      </c>
      <c r="Z341" s="146"/>
      <c r="AA341" s="146"/>
      <c r="AB341" s="203"/>
      <c r="AD341" s="259"/>
      <c r="AE341" s="259"/>
      <c r="AF341" s="259"/>
      <c r="AG341" s="259"/>
      <c r="AH341" s="259"/>
      <c r="AI341" s="259"/>
      <c r="AJ341" s="259"/>
      <c r="AK341" s="259"/>
      <c r="AL341" s="259"/>
      <c r="AM341" s="259"/>
      <c r="AN341" s="259"/>
      <c r="AO341" s="259"/>
    </row>
    <row r="342" spans="1:41" s="120" customFormat="1" ht="12" x14ac:dyDescent="0.25">
      <c r="A342" s="131"/>
      <c r="B342" s="131"/>
      <c r="C342" s="131"/>
      <c r="D342" s="131"/>
      <c r="E342" s="131"/>
      <c r="F342" s="46"/>
      <c r="G342" s="46"/>
      <c r="H342" s="116">
        <f t="shared" si="183"/>
        <v>30</v>
      </c>
      <c r="I342" s="120" t="str">
        <f t="shared" si="190"/>
        <v>Breskve namizne</v>
      </c>
      <c r="J342" s="46"/>
      <c r="K342" s="46"/>
      <c r="L342" s="146"/>
      <c r="M342" s="260"/>
      <c r="N342" s="146"/>
      <c r="O342" s="287">
        <f>+O341*O337/O336</f>
        <v>996.03682197863873</v>
      </c>
      <c r="P342" s="273" t="s">
        <v>104</v>
      </c>
      <c r="Q342" s="287">
        <f t="shared" ref="Q342:T342" si="204">+Q341*Q337/Q336</f>
        <v>802.07552727592588</v>
      </c>
      <c r="R342" s="287">
        <f t="shared" si="204"/>
        <v>881.75368812436693</v>
      </c>
      <c r="S342" s="287">
        <f t="shared" si="204"/>
        <v>996.03682197863873</v>
      </c>
      <c r="T342" s="287">
        <f t="shared" si="204"/>
        <v>1190.5982334654639</v>
      </c>
      <c r="U342" s="287"/>
      <c r="V342" s="287"/>
      <c r="W342" s="114"/>
      <c r="X342" s="146">
        <f t="shared" si="203"/>
        <v>109.93399725323256</v>
      </c>
      <c r="Y342" s="146">
        <f t="shared" si="203"/>
        <v>124.18242274034466</v>
      </c>
      <c r="Z342" s="146"/>
      <c r="AA342" s="146"/>
      <c r="AB342" s="203"/>
      <c r="AD342" s="259"/>
      <c r="AE342" s="259"/>
      <c r="AF342" s="259"/>
      <c r="AG342" s="259"/>
      <c r="AH342" s="259"/>
      <c r="AI342" s="259"/>
      <c r="AJ342" s="259"/>
      <c r="AK342" s="259"/>
      <c r="AL342" s="259"/>
      <c r="AM342" s="259"/>
      <c r="AN342" s="259"/>
      <c r="AO342" s="259"/>
    </row>
    <row r="343" spans="1:41" s="120" customFormat="1" ht="12" x14ac:dyDescent="0.25">
      <c r="A343" s="131"/>
      <c r="B343" s="131"/>
      <c r="C343" s="131"/>
      <c r="D343" s="131"/>
      <c r="E343" s="131"/>
      <c r="F343" s="46"/>
      <c r="G343" s="46"/>
      <c r="H343" s="116">
        <f t="shared" si="183"/>
        <v>31</v>
      </c>
      <c r="I343" s="120" t="str">
        <f t="shared" si="190"/>
        <v>Breskve namizne</v>
      </c>
      <c r="J343" s="46"/>
      <c r="K343" s="46"/>
      <c r="L343" s="146"/>
      <c r="M343" s="260"/>
      <c r="N343" s="146"/>
      <c r="O343" s="287">
        <f>+O341*O338/O336</f>
        <v>893.02825677187604</v>
      </c>
      <c r="P343" s="273" t="s">
        <v>103</v>
      </c>
      <c r="Q343" s="287">
        <f t="shared" ref="Q343:T343" si="205">+Q341*Q338/Q336</f>
        <v>720.35813376522458</v>
      </c>
      <c r="R343" s="287">
        <f t="shared" si="205"/>
        <v>791.01066233993436</v>
      </c>
      <c r="S343" s="287">
        <f t="shared" si="205"/>
        <v>893.02825677187604</v>
      </c>
      <c r="T343" s="287">
        <f t="shared" si="205"/>
        <v>1065.4824764317273</v>
      </c>
      <c r="U343" s="287"/>
      <c r="V343" s="287"/>
      <c r="W343" s="114"/>
      <c r="X343" s="146">
        <f t="shared" si="203"/>
        <v>109.80797262681239</v>
      </c>
      <c r="Y343" s="146">
        <f t="shared" si="203"/>
        <v>123.97003863954804</v>
      </c>
      <c r="Z343" s="146"/>
      <c r="AA343" s="146"/>
      <c r="AB343" s="203"/>
      <c r="AD343" s="259"/>
      <c r="AE343" s="259"/>
      <c r="AF343" s="259"/>
      <c r="AG343" s="259"/>
      <c r="AH343" s="259"/>
      <c r="AI343" s="259"/>
      <c r="AJ343" s="259"/>
      <c r="AK343" s="259"/>
      <c r="AL343" s="259"/>
      <c r="AM343" s="259"/>
      <c r="AN343" s="259"/>
      <c r="AO343" s="259"/>
    </row>
    <row r="344" spans="1:41" s="120" customFormat="1" ht="12" x14ac:dyDescent="0.25">
      <c r="A344" s="131"/>
      <c r="B344" s="131"/>
      <c r="C344" s="131"/>
      <c r="D344" s="131"/>
      <c r="E344" s="131"/>
      <c r="F344" s="46"/>
      <c r="G344" s="46"/>
      <c r="H344" s="116">
        <f t="shared" si="183"/>
        <v>32</v>
      </c>
      <c r="I344" s="120" t="str">
        <f t="shared" si="190"/>
        <v>Breskve namizne</v>
      </c>
      <c r="J344" s="46"/>
      <c r="K344" s="46"/>
      <c r="L344" s="146"/>
      <c r="M344" s="260"/>
      <c r="N344" s="146"/>
      <c r="O344" s="287">
        <f>+O341-O343</f>
        <v>142.86397046758691</v>
      </c>
      <c r="P344" s="273" t="s">
        <v>102</v>
      </c>
      <c r="Q344" s="287">
        <f t="shared" ref="Q344:T344" si="206">+Q341-Q343</f>
        <v>113.33495685303058</v>
      </c>
      <c r="R344" s="287">
        <f t="shared" si="206"/>
        <v>125.85272816668237</v>
      </c>
      <c r="S344" s="287">
        <f t="shared" si="206"/>
        <v>142.86397046758691</v>
      </c>
      <c r="T344" s="287">
        <f t="shared" si="206"/>
        <v>173.52473342405187</v>
      </c>
      <c r="U344" s="287"/>
      <c r="V344" s="287"/>
      <c r="W344" s="114"/>
      <c r="X344" s="146">
        <f t="shared" si="203"/>
        <v>111.04493411497431</v>
      </c>
      <c r="Y344" s="146">
        <f t="shared" si="203"/>
        <v>126.05463877561509</v>
      </c>
      <c r="Z344" s="146"/>
      <c r="AA344" s="146"/>
      <c r="AB344" s="203"/>
      <c r="AD344" s="259"/>
      <c r="AE344" s="259"/>
      <c r="AF344" s="259"/>
      <c r="AG344" s="259"/>
      <c r="AH344" s="259"/>
      <c r="AI344" s="259"/>
      <c r="AJ344" s="259"/>
      <c r="AK344" s="259"/>
      <c r="AL344" s="259"/>
      <c r="AM344" s="259"/>
      <c r="AN344" s="259"/>
      <c r="AO344" s="259"/>
    </row>
    <row r="345" spans="1:41" s="120" customFormat="1" ht="12" x14ac:dyDescent="0.25">
      <c r="A345" s="131"/>
      <c r="B345" s="131"/>
      <c r="C345" s="131"/>
      <c r="D345" s="131"/>
      <c r="E345" s="131"/>
      <c r="F345" s="46"/>
      <c r="G345" s="45"/>
      <c r="H345" s="116">
        <f t="shared" si="183"/>
        <v>33</v>
      </c>
      <c r="I345" s="120" t="str">
        <f t="shared" si="190"/>
        <v>Breskve namizne</v>
      </c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114"/>
      <c r="X345" s="146" t="e">
        <f t="shared" si="203"/>
        <v>#DIV/0!</v>
      </c>
      <c r="Y345" s="146" t="e">
        <f t="shared" si="203"/>
        <v>#DIV/0!</v>
      </c>
      <c r="Z345" s="146"/>
      <c r="AA345" s="146"/>
      <c r="AB345" s="316"/>
      <c r="AD345" s="259"/>
      <c r="AE345" s="259"/>
      <c r="AF345" s="259"/>
      <c r="AG345" s="259"/>
      <c r="AH345" s="259"/>
      <c r="AI345" s="259"/>
      <c r="AJ345" s="259"/>
      <c r="AK345" s="259"/>
      <c r="AL345" s="259"/>
      <c r="AM345" s="259"/>
      <c r="AN345" s="259"/>
      <c r="AO345" s="259"/>
    </row>
    <row r="346" spans="1:41" s="120" customFormat="1" ht="12" x14ac:dyDescent="0.25">
      <c r="A346" s="131" t="s">
        <v>30</v>
      </c>
      <c r="B346" s="131"/>
      <c r="C346" s="131"/>
      <c r="D346" s="131"/>
      <c r="E346" s="131"/>
      <c r="F346" s="46">
        <v>1000</v>
      </c>
      <c r="G346" s="46"/>
      <c r="H346" s="116">
        <f t="shared" si="183"/>
        <v>34</v>
      </c>
      <c r="I346" s="120" t="str">
        <f t="shared" si="190"/>
        <v>Breskve namizne</v>
      </c>
      <c r="J346" s="289" t="s">
        <v>101</v>
      </c>
      <c r="K346" s="46"/>
      <c r="L346" s="146"/>
      <c r="M346" s="260"/>
      <c r="N346" s="306"/>
      <c r="O346" s="290">
        <v>1671</v>
      </c>
      <c r="P346" s="289" t="str">
        <f>P347</f>
        <v>Odkupna cena; vir podatkov SURS; preračuni KIS</v>
      </c>
      <c r="Q346" s="290">
        <v>1671</v>
      </c>
      <c r="R346" s="290">
        <v>1671</v>
      </c>
      <c r="S346" s="290">
        <v>1671</v>
      </c>
      <c r="T346" s="290">
        <v>1671</v>
      </c>
      <c r="U346" s="290"/>
      <c r="V346" s="290"/>
      <c r="W346" s="294"/>
      <c r="X346" s="257">
        <f t="shared" si="203"/>
        <v>100</v>
      </c>
      <c r="Y346" s="257">
        <f t="shared" si="203"/>
        <v>100</v>
      </c>
      <c r="Z346" s="257"/>
      <c r="AA346" s="257"/>
      <c r="AB346" s="203"/>
      <c r="AD346" s="259"/>
      <c r="AE346" s="259"/>
      <c r="AF346" s="259"/>
      <c r="AG346" s="259"/>
      <c r="AH346" s="259"/>
      <c r="AI346" s="259"/>
      <c r="AJ346" s="259"/>
      <c r="AK346" s="259"/>
      <c r="AL346" s="259"/>
      <c r="AM346" s="259"/>
      <c r="AN346" s="259"/>
      <c r="AO346" s="259"/>
    </row>
    <row r="347" spans="1:41" s="120" customFormat="1" ht="12" x14ac:dyDescent="0.25">
      <c r="A347" s="131"/>
      <c r="B347" s="131"/>
      <c r="C347" s="131"/>
      <c r="D347" s="131"/>
      <c r="E347" s="131"/>
      <c r="F347" s="46"/>
      <c r="G347" s="45"/>
      <c r="H347" s="116">
        <f t="shared" si="183"/>
        <v>35</v>
      </c>
      <c r="I347" s="120" t="str">
        <f t="shared" si="190"/>
        <v>Breskve namizne</v>
      </c>
      <c r="J347" s="291" t="str">
        <f>+J310</f>
        <v>Bruto dodana vrednost</v>
      </c>
      <c r="K347" s="46"/>
      <c r="L347" s="257"/>
      <c r="M347" s="258"/>
      <c r="N347" s="257"/>
      <c r="O347" s="292">
        <f>O335+O334+O322-O320</f>
        <v>24880.10300646297</v>
      </c>
      <c r="P347" s="288" t="s">
        <v>101</v>
      </c>
      <c r="Q347" s="292">
        <f t="shared" ref="Q347:T347" si="207">Q335+Q334+Q322-Q320</f>
        <v>38738.35239348832</v>
      </c>
      <c r="R347" s="292">
        <f t="shared" si="207"/>
        <v>31810.564867945919</v>
      </c>
      <c r="S347" s="292">
        <f t="shared" si="207"/>
        <v>24880.10300646297</v>
      </c>
      <c r="T347" s="292">
        <f t="shared" si="207"/>
        <v>17993.286941565049</v>
      </c>
      <c r="U347" s="292"/>
      <c r="V347" s="292"/>
      <c r="W347" s="114"/>
      <c r="X347" s="146">
        <f t="shared" si="203"/>
        <v>82.116463149561</v>
      </c>
      <c r="Y347" s="146">
        <f t="shared" si="203"/>
        <v>64.2260227119137</v>
      </c>
      <c r="Z347" s="146"/>
      <c r="AA347" s="146"/>
      <c r="AB347" s="316"/>
      <c r="AD347" s="259"/>
      <c r="AE347" s="259"/>
      <c r="AF347" s="259"/>
      <c r="AG347" s="259"/>
      <c r="AH347" s="259"/>
      <c r="AI347" s="259"/>
      <c r="AJ347" s="259"/>
      <c r="AK347" s="259"/>
      <c r="AL347" s="259"/>
      <c r="AM347" s="259"/>
      <c r="AN347" s="259"/>
      <c r="AO347" s="259"/>
    </row>
    <row r="348" spans="1:41" s="120" customFormat="1" ht="12" x14ac:dyDescent="0.25">
      <c r="A348" s="196" t="s">
        <v>26</v>
      </c>
      <c r="B348" s="131"/>
      <c r="C348" s="131"/>
      <c r="D348" s="131"/>
      <c r="E348" s="131"/>
      <c r="F348" s="46"/>
      <c r="G348" s="146"/>
      <c r="H348" s="116">
        <f t="shared" si="183"/>
        <v>36</v>
      </c>
      <c r="I348" s="120" t="str">
        <f t="shared" si="190"/>
        <v>Breskve namizne</v>
      </c>
      <c r="J348" s="275" t="s">
        <v>26</v>
      </c>
      <c r="K348" s="128"/>
      <c r="L348" s="146"/>
      <c r="M348" s="260"/>
      <c r="N348" s="146"/>
      <c r="O348" s="117">
        <v>5132.2134545509271</v>
      </c>
      <c r="P348" s="124"/>
      <c r="Q348" s="117">
        <v>5351.7943730498937</v>
      </c>
      <c r="R348" s="117">
        <v>5258.6675728269402</v>
      </c>
      <c r="S348" s="117">
        <v>5132.2134545509271</v>
      </c>
      <c r="T348" s="117">
        <v>5038.5461326327195</v>
      </c>
      <c r="U348" s="117"/>
      <c r="V348" s="252"/>
      <c r="W348" s="294"/>
      <c r="X348" s="257">
        <f t="shared" si="203"/>
        <v>98.259895770810743</v>
      </c>
      <c r="Y348" s="257">
        <f t="shared" si="203"/>
        <v>95.897059879491749</v>
      </c>
      <c r="Z348" s="257"/>
      <c r="AA348" s="257"/>
      <c r="AB348" s="203"/>
      <c r="AD348" s="259"/>
      <c r="AE348" s="259"/>
      <c r="AF348" s="259"/>
      <c r="AG348" s="259"/>
      <c r="AH348" s="259"/>
      <c r="AI348" s="259"/>
      <c r="AJ348" s="259"/>
      <c r="AK348" s="259"/>
      <c r="AL348" s="259"/>
      <c r="AM348" s="259"/>
      <c r="AN348" s="259"/>
      <c r="AO348" s="259"/>
    </row>
    <row r="349" spans="1:41" s="120" customFormat="1" ht="12" x14ac:dyDescent="0.25">
      <c r="A349" s="131"/>
      <c r="B349" s="131"/>
      <c r="C349" s="131"/>
      <c r="D349" s="131"/>
      <c r="E349" s="131"/>
      <c r="G349" s="203"/>
      <c r="H349" s="116">
        <f t="shared" si="183"/>
        <v>37</v>
      </c>
      <c r="J349" s="46" t="s">
        <v>190</v>
      </c>
      <c r="K349" s="128"/>
      <c r="L349" s="146"/>
      <c r="M349" s="260"/>
      <c r="N349" s="146"/>
      <c r="O349" s="313">
        <f>+O347-O348</f>
        <v>19747.889551912041</v>
      </c>
      <c r="P349" s="124"/>
      <c r="Q349" s="313">
        <f t="shared" ref="Q349:T349" si="208">+Q347-Q348</f>
        <v>33386.558020438424</v>
      </c>
      <c r="R349" s="313">
        <f t="shared" si="208"/>
        <v>26551.897295118979</v>
      </c>
      <c r="S349" s="313">
        <f t="shared" si="208"/>
        <v>19747.889551912041</v>
      </c>
      <c r="T349" s="313">
        <f t="shared" si="208"/>
        <v>12954.740808932329</v>
      </c>
      <c r="U349" s="313"/>
      <c r="V349" s="252"/>
      <c r="W349" s="294"/>
      <c r="X349" s="257"/>
      <c r="Y349" s="257"/>
      <c r="Z349" s="257"/>
      <c r="AA349" s="257"/>
      <c r="AB349" s="203"/>
      <c r="AD349" s="259"/>
      <c r="AE349" s="259"/>
      <c r="AF349" s="259"/>
      <c r="AG349" s="259"/>
      <c r="AH349" s="259"/>
      <c r="AI349" s="259"/>
      <c r="AJ349" s="259"/>
      <c r="AK349" s="259"/>
      <c r="AL349" s="259"/>
      <c r="AM349" s="259"/>
      <c r="AN349" s="259"/>
      <c r="AO349" s="259"/>
    </row>
    <row r="350" spans="1:41" s="120" customFormat="1" ht="12" x14ac:dyDescent="0.25">
      <c r="A350" s="131"/>
      <c r="B350" s="131"/>
      <c r="C350" s="131"/>
      <c r="D350" s="131"/>
      <c r="E350" s="131"/>
      <c r="F350" s="198"/>
      <c r="G350" s="198"/>
      <c r="H350" s="145"/>
      <c r="I350" s="145" t="str">
        <f>+J352</f>
        <v>Grozdje-vertikala podravska</v>
      </c>
      <c r="J350" s="144" t="s">
        <v>23</v>
      </c>
      <c r="K350" s="145"/>
      <c r="L350" s="145"/>
      <c r="M350" s="145"/>
      <c r="N350" s="145"/>
      <c r="O350" s="238">
        <f>O358-O370+O363-'2023'!E331</f>
        <v>2.2354999999999903E-2</v>
      </c>
      <c r="P350" s="145"/>
      <c r="Q350" s="238">
        <f>Q358-Q370+Q363-'2023'!H331</f>
        <v>1.4903333333333268E-2</v>
      </c>
      <c r="R350" s="238">
        <f>R358-R370+R363-'2023'!I331</f>
        <v>1.7884000001819E-2</v>
      </c>
      <c r="S350" s="238">
        <f>S358-S370+S363-'2023'!J331</f>
        <v>2.2354999999999903E-2</v>
      </c>
      <c r="T350" s="238">
        <f>T358-T370+T363-'2023'!K331</f>
        <v>2.5548571428571476E-2</v>
      </c>
      <c r="U350" s="238">
        <f>U358-U370+U363-'2023'!L331</f>
        <v>1.7663209878362229E-2</v>
      </c>
      <c r="V350" s="238">
        <f>V358-V370+V363-'2023'!M331</f>
        <v>1.9871111109292183E-2</v>
      </c>
      <c r="W350" s="145"/>
      <c r="X350" s="145"/>
      <c r="Y350" s="145"/>
      <c r="Z350" s="145"/>
      <c r="AA350" s="145"/>
      <c r="AB350" s="198"/>
      <c r="AC350" s="198"/>
      <c r="AD350" s="259"/>
      <c r="AE350" s="259"/>
      <c r="AF350" s="259"/>
      <c r="AG350" s="259"/>
      <c r="AH350" s="259"/>
      <c r="AI350" s="259"/>
      <c r="AJ350" s="259"/>
      <c r="AK350" s="259"/>
      <c r="AL350" s="259"/>
      <c r="AM350" s="259"/>
      <c r="AN350" s="259"/>
      <c r="AO350" s="259"/>
    </row>
    <row r="351" spans="1:41" s="120" customFormat="1" ht="12" x14ac:dyDescent="0.25">
      <c r="A351" s="131"/>
      <c r="B351" s="131"/>
      <c r="C351" s="131"/>
      <c r="D351" s="131"/>
      <c r="E351" s="131"/>
      <c r="G351" s="199"/>
      <c r="H351" s="116"/>
      <c r="I351" s="120" t="str">
        <f t="shared" ref="I351:I363" si="209">+I350</f>
        <v>Grozdje-vertikala podravska</v>
      </c>
      <c r="J351" s="118" t="s">
        <v>149</v>
      </c>
      <c r="K351" s="119"/>
      <c r="L351" s="119"/>
      <c r="M351" s="241"/>
      <c r="N351" s="119"/>
      <c r="O351" s="297" t="e">
        <f>#REF!</f>
        <v>#REF!</v>
      </c>
      <c r="P351" s="297"/>
      <c r="Q351" s="242" t="s">
        <v>132</v>
      </c>
      <c r="R351" s="242" t="s">
        <v>133</v>
      </c>
      <c r="S351" s="242" t="s">
        <v>131</v>
      </c>
      <c r="T351" s="242" t="s">
        <v>215</v>
      </c>
      <c r="U351" s="242" t="s">
        <v>214</v>
      </c>
      <c r="V351" s="119" t="s">
        <v>216</v>
      </c>
      <c r="W351" s="119"/>
      <c r="X351" s="242"/>
      <c r="Y351" s="242"/>
      <c r="Z351" s="119"/>
      <c r="AA351" s="119"/>
      <c r="AB351" s="198"/>
      <c r="AC351" s="198"/>
      <c r="AD351" s="259"/>
      <c r="AE351" s="259"/>
      <c r="AF351" s="259"/>
      <c r="AG351" s="259"/>
      <c r="AH351" s="259"/>
      <c r="AI351" s="259"/>
      <c r="AJ351" s="259"/>
      <c r="AK351" s="259"/>
      <c r="AL351" s="259"/>
      <c r="AM351" s="259"/>
      <c r="AN351" s="259"/>
      <c r="AO351" s="259"/>
    </row>
    <row r="352" spans="1:41" s="120" customFormat="1" ht="12" x14ac:dyDescent="0.25">
      <c r="A352" s="131"/>
      <c r="B352" s="131"/>
      <c r="C352" s="131"/>
      <c r="D352" s="131"/>
      <c r="E352" s="131"/>
      <c r="F352" s="120" t="e">
        <f>#REF!</f>
        <v>#REF!</v>
      </c>
      <c r="G352" s="199"/>
      <c r="H352" s="116"/>
      <c r="I352" s="120" t="str">
        <f t="shared" si="209"/>
        <v>Grozdje-vertikala podravska</v>
      </c>
      <c r="J352" s="122" t="s">
        <v>268</v>
      </c>
      <c r="K352" s="46" t="str">
        <f>+K$56</f>
        <v>Enota</v>
      </c>
      <c r="L352" s="186"/>
      <c r="M352" s="243"/>
      <c r="N352" s="237"/>
      <c r="O352" s="191"/>
      <c r="P352" s="191"/>
      <c r="Q352" s="46" t="s">
        <v>87</v>
      </c>
      <c r="R352" s="46" t="s">
        <v>86</v>
      </c>
      <c r="S352" s="191" t="s">
        <v>85</v>
      </c>
      <c r="T352" s="46" t="s">
        <v>77</v>
      </c>
      <c r="U352" s="191" t="s">
        <v>97</v>
      </c>
      <c r="V352" s="120" t="s">
        <v>158</v>
      </c>
      <c r="Z352" s="120" t="s">
        <v>88</v>
      </c>
      <c r="AD352" s="259"/>
      <c r="AE352" s="259"/>
      <c r="AF352" s="259"/>
      <c r="AG352" s="259"/>
      <c r="AH352" s="259"/>
      <c r="AI352" s="259"/>
      <c r="AJ352" s="259"/>
      <c r="AK352" s="259"/>
      <c r="AL352" s="259"/>
      <c r="AM352" s="259"/>
      <c r="AN352" s="259"/>
      <c r="AO352" s="259"/>
    </row>
    <row r="353" spans="1:41" s="120" customFormat="1" ht="12" x14ac:dyDescent="0.25">
      <c r="A353" s="131"/>
      <c r="B353" s="131"/>
      <c r="C353" s="131"/>
      <c r="D353" s="131"/>
      <c r="E353" s="131"/>
      <c r="G353" s="199"/>
      <c r="H353" s="116"/>
      <c r="I353" s="120" t="str">
        <f t="shared" si="209"/>
        <v>Grozdje-vertikala podravska</v>
      </c>
      <c r="J353" s="45" t="s">
        <v>84</v>
      </c>
      <c r="K353" s="46"/>
      <c r="L353" s="186"/>
      <c r="M353" s="243"/>
      <c r="N353" s="237"/>
      <c r="O353" s="191"/>
      <c r="P353" s="191"/>
      <c r="Q353" s="186"/>
      <c r="R353" s="186"/>
      <c r="S353" s="186"/>
      <c r="T353" s="186"/>
      <c r="U353" s="186"/>
      <c r="V353" s="186"/>
      <c r="W353" s="186"/>
      <c r="X353" s="237"/>
      <c r="Y353" s="186"/>
      <c r="Z353" s="186">
        <f>R353</f>
        <v>0</v>
      </c>
      <c r="AA353" s="186">
        <f>S353</f>
        <v>0</v>
      </c>
      <c r="AD353" s="259"/>
      <c r="AE353" s="259"/>
      <c r="AF353" s="259"/>
      <c r="AG353" s="259"/>
      <c r="AH353" s="259"/>
      <c r="AI353" s="259"/>
      <c r="AJ353" s="259"/>
      <c r="AK353" s="259"/>
      <c r="AL353" s="259"/>
      <c r="AM353" s="259"/>
      <c r="AN353" s="259"/>
      <c r="AO353" s="259"/>
    </row>
    <row r="354" spans="1:41" s="120" customFormat="1" ht="12" x14ac:dyDescent="0.25">
      <c r="A354" s="131" t="s">
        <v>22</v>
      </c>
      <c r="B354" s="131"/>
      <c r="C354" s="131"/>
      <c r="D354" s="131"/>
      <c r="E354" s="131"/>
      <c r="F354" s="46"/>
      <c r="G354" s="199"/>
      <c r="H354" s="116"/>
      <c r="I354" s="120" t="str">
        <f t="shared" si="209"/>
        <v>Grozdje-vertikala podravska</v>
      </c>
      <c r="J354" s="45" t="s">
        <v>21</v>
      </c>
      <c r="K354" s="46" t="s">
        <v>76</v>
      </c>
      <c r="L354" s="245"/>
      <c r="M354" s="298"/>
      <c r="N354" s="247"/>
      <c r="O354" s="252">
        <v>8000</v>
      </c>
      <c r="P354" s="46"/>
      <c r="Q354" s="252">
        <v>12000</v>
      </c>
      <c r="R354" s="252">
        <v>10000</v>
      </c>
      <c r="S354" s="252">
        <v>8000</v>
      </c>
      <c r="T354" s="252">
        <v>7000</v>
      </c>
      <c r="U354" s="252">
        <v>10125</v>
      </c>
      <c r="V354" s="252">
        <v>9000</v>
      </c>
      <c r="W354" s="186"/>
      <c r="X354" s="240"/>
      <c r="Y354" s="240"/>
      <c r="Z354" s="240">
        <f>R354/$Q354*100</f>
        <v>83.333333333333343</v>
      </c>
      <c r="AA354" s="240">
        <f>S354/$Q354*100</f>
        <v>66.666666666666657</v>
      </c>
      <c r="AB354" s="240"/>
      <c r="AD354" s="259"/>
      <c r="AE354" s="259"/>
      <c r="AF354" s="259"/>
      <c r="AG354" s="259"/>
      <c r="AH354" s="259"/>
      <c r="AI354" s="259"/>
      <c r="AJ354" s="259"/>
      <c r="AK354" s="259"/>
      <c r="AL354" s="259"/>
      <c r="AM354" s="259"/>
      <c r="AN354" s="259"/>
      <c r="AO354" s="259"/>
    </row>
    <row r="355" spans="1:41" s="120" customFormat="1" ht="12" x14ac:dyDescent="0.25">
      <c r="A355" s="131" t="s">
        <v>95</v>
      </c>
      <c r="B355" s="131"/>
      <c r="C355" s="131"/>
      <c r="D355" s="131"/>
      <c r="E355" s="131"/>
      <c r="F355" s="46"/>
      <c r="G355" s="199"/>
      <c r="H355" s="116"/>
      <c r="I355" s="120" t="str">
        <f t="shared" si="209"/>
        <v>Grozdje-vertikala podravska</v>
      </c>
      <c r="J355" s="45"/>
      <c r="K355" s="46" t="s">
        <v>75</v>
      </c>
      <c r="L355" s="245"/>
      <c r="M355" s="298"/>
      <c r="N355" s="247"/>
      <c r="O355" s="245">
        <f>O354/O356</f>
        <v>2</v>
      </c>
      <c r="P355" s="46"/>
      <c r="Q355" s="318">
        <f t="shared" ref="Q355:T355" si="210">Q354/Q356</f>
        <v>3</v>
      </c>
      <c r="R355" s="318">
        <f t="shared" si="210"/>
        <v>2.5</v>
      </c>
      <c r="S355" s="318">
        <f t="shared" si="210"/>
        <v>2</v>
      </c>
      <c r="T355" s="318">
        <f t="shared" si="210"/>
        <v>1.75</v>
      </c>
      <c r="U355" s="318">
        <f t="shared" ref="U355" si="211">U354/U356</f>
        <v>2.25</v>
      </c>
      <c r="V355" s="318">
        <f t="shared" ref="V355" si="212">V354/V356</f>
        <v>2</v>
      </c>
      <c r="W355" s="186"/>
      <c r="X355" s="186"/>
      <c r="Y355" s="186"/>
      <c r="Z355" s="186"/>
      <c r="AA355" s="186"/>
      <c r="AD355" s="259"/>
      <c r="AE355" s="259"/>
      <c r="AF355" s="259"/>
      <c r="AG355" s="259"/>
      <c r="AH355" s="259"/>
      <c r="AI355" s="259"/>
      <c r="AJ355" s="259"/>
      <c r="AK355" s="259"/>
      <c r="AL355" s="259"/>
      <c r="AM355" s="259"/>
      <c r="AN355" s="259"/>
      <c r="AO355" s="259"/>
    </row>
    <row r="356" spans="1:41" s="120" customFormat="1" ht="12" x14ac:dyDescent="0.25">
      <c r="A356" s="131" t="s">
        <v>199</v>
      </c>
      <c r="B356" s="131"/>
      <c r="C356" s="131"/>
      <c r="D356" s="131"/>
      <c r="E356" s="131"/>
      <c r="F356" s="46"/>
      <c r="G356" s="199"/>
      <c r="H356" s="116"/>
      <c r="I356" s="120" t="str">
        <f t="shared" si="209"/>
        <v>Grozdje-vertikala podravska</v>
      </c>
      <c r="J356" s="45" t="s">
        <v>74</v>
      </c>
      <c r="K356" s="46" t="s">
        <v>73</v>
      </c>
      <c r="L356" s="186"/>
      <c r="M356" s="243"/>
      <c r="N356" s="237"/>
      <c r="O356" s="251">
        <v>4000</v>
      </c>
      <c r="P356" s="252"/>
      <c r="Q356" s="252">
        <v>4000</v>
      </c>
      <c r="R356" s="252">
        <v>4000</v>
      </c>
      <c r="S356" s="252">
        <v>4000</v>
      </c>
      <c r="T356" s="252">
        <v>4000</v>
      </c>
      <c r="U356" s="252">
        <v>4500</v>
      </c>
      <c r="V356" s="252">
        <v>4500</v>
      </c>
      <c r="W356" s="186"/>
      <c r="X356" s="240"/>
      <c r="Y356" s="240"/>
      <c r="Z356" s="240">
        <f>Q356/$R356*100</f>
        <v>100</v>
      </c>
      <c r="AA356" s="240">
        <f>R356/$R356*100</f>
        <v>100</v>
      </c>
      <c r="AC356" s="319"/>
      <c r="AD356" s="259"/>
      <c r="AE356" s="259"/>
      <c r="AF356" s="259"/>
      <c r="AG356" s="259"/>
      <c r="AH356" s="259"/>
      <c r="AI356" s="259"/>
      <c r="AJ356" s="259"/>
      <c r="AK356" s="259"/>
      <c r="AL356" s="259"/>
      <c r="AM356" s="259"/>
      <c r="AN356" s="259"/>
      <c r="AO356" s="259"/>
    </row>
    <row r="357" spans="1:41" s="120" customFormat="1" ht="12" x14ac:dyDescent="0.25">
      <c r="A357" s="196" t="s">
        <v>27</v>
      </c>
      <c r="B357" s="131"/>
      <c r="C357" s="131"/>
      <c r="D357" s="131"/>
      <c r="E357" s="131"/>
      <c r="F357" s="46"/>
      <c r="G357" s="199"/>
      <c r="H357" s="116"/>
      <c r="I357" s="120" t="str">
        <f t="shared" si="209"/>
        <v>Grozdje-vertikala podravska</v>
      </c>
      <c r="J357" s="45" t="str">
        <f>+J$61</f>
        <v>Kupljen material in storitve</v>
      </c>
      <c r="K357" s="46"/>
      <c r="L357" s="46"/>
      <c r="M357" s="229"/>
      <c r="N357" s="46"/>
      <c r="O357" s="252">
        <v>4178.6462809378172</v>
      </c>
      <c r="P357" s="46"/>
      <c r="Q357" s="252">
        <v>4706.2937919792785</v>
      </c>
      <c r="R357" s="252">
        <v>4490.3205278527212</v>
      </c>
      <c r="S357" s="252">
        <v>4178.6462809378172</v>
      </c>
      <c r="T357" s="252">
        <v>3996.3712134896969</v>
      </c>
      <c r="U357" s="252">
        <v>4657.9070527826734</v>
      </c>
      <c r="V357" s="252">
        <v>4513.4385833832066</v>
      </c>
      <c r="W357" s="245"/>
      <c r="X357" s="240"/>
      <c r="Y357" s="240"/>
      <c r="Z357" s="240"/>
      <c r="AA357" s="240"/>
      <c r="AB357" s="240"/>
      <c r="AD357" s="259"/>
      <c r="AE357" s="259"/>
      <c r="AF357" s="259"/>
      <c r="AG357" s="259"/>
      <c r="AH357" s="259"/>
      <c r="AI357" s="259"/>
      <c r="AJ357" s="259"/>
      <c r="AK357" s="259"/>
      <c r="AL357" s="259"/>
      <c r="AM357" s="259"/>
      <c r="AN357" s="259"/>
      <c r="AO357" s="259"/>
    </row>
    <row r="358" spans="1:41" s="120" customFormat="1" ht="12" x14ac:dyDescent="0.25">
      <c r="A358" s="131" t="s">
        <v>6</v>
      </c>
      <c r="B358" s="131"/>
      <c r="C358" s="131"/>
      <c r="D358" s="131"/>
      <c r="E358" s="131"/>
      <c r="F358" s="46"/>
      <c r="G358" s="199"/>
      <c r="H358" s="116"/>
      <c r="I358" s="120" t="str">
        <f t="shared" si="209"/>
        <v>Grozdje-vertikala podravska</v>
      </c>
      <c r="J358" s="45" t="str">
        <f>+J$62</f>
        <v>Stroški skupaj</v>
      </c>
      <c r="K358" s="46" t="str">
        <f>+K$62</f>
        <v>EUR/ha</v>
      </c>
      <c r="L358" s="125"/>
      <c r="M358" s="307"/>
      <c r="N358" s="124"/>
      <c r="O358" s="252">
        <v>11331.207656658986</v>
      </c>
      <c r="P358" s="124"/>
      <c r="Q358" s="252">
        <v>12198.373473583466</v>
      </c>
      <c r="R358" s="252">
        <v>11814.557174424217</v>
      </c>
      <c r="S358" s="252">
        <v>11331.207656658986</v>
      </c>
      <c r="T358" s="252">
        <v>11063.784601695468</v>
      </c>
      <c r="U358" s="252">
        <v>12625.004908761941</v>
      </c>
      <c r="V358" s="252">
        <v>12383.474053191447</v>
      </c>
      <c r="W358" s="249"/>
      <c r="X358" s="240"/>
      <c r="Y358" s="240"/>
      <c r="Z358" s="240">
        <f>R358/$Q358*100</f>
        <v>96.853545269863787</v>
      </c>
      <c r="AA358" s="240">
        <f>S358/$Q358*100</f>
        <v>92.891135700981806</v>
      </c>
      <c r="AB358" s="240"/>
      <c r="AD358" s="259"/>
      <c r="AE358" s="259"/>
      <c r="AF358" s="259"/>
      <c r="AG358" s="259"/>
      <c r="AH358" s="259"/>
      <c r="AI358" s="259"/>
      <c r="AJ358" s="259"/>
      <c r="AK358" s="259"/>
      <c r="AL358" s="259"/>
      <c r="AM358" s="259"/>
      <c r="AN358" s="259"/>
      <c r="AO358" s="259"/>
    </row>
    <row r="359" spans="1:41" s="120" customFormat="1" ht="12" x14ac:dyDescent="0.25">
      <c r="A359" s="131" t="s">
        <v>5</v>
      </c>
      <c r="B359" s="131"/>
      <c r="C359" s="131"/>
      <c r="D359" s="131"/>
      <c r="E359" s="131"/>
      <c r="F359" s="46"/>
      <c r="G359" s="199"/>
      <c r="H359" s="116"/>
      <c r="I359" s="120" t="str">
        <f t="shared" si="209"/>
        <v>Grozdje-vertikala podravska</v>
      </c>
      <c r="J359" s="45" t="str">
        <f>+J$63</f>
        <v>Stranski pridelki</v>
      </c>
      <c r="K359" s="46" t="str">
        <f>+K$63</f>
        <v>EUR/ha</v>
      </c>
      <c r="L359" s="125"/>
      <c r="M359" s="307"/>
      <c r="N359" s="125"/>
      <c r="O359" s="252">
        <v>0</v>
      </c>
      <c r="P359" s="125"/>
      <c r="Q359" s="252">
        <v>0</v>
      </c>
      <c r="R359" s="252">
        <v>0</v>
      </c>
      <c r="S359" s="252">
        <v>0</v>
      </c>
      <c r="T359" s="252">
        <v>0</v>
      </c>
      <c r="U359" s="252">
        <v>0</v>
      </c>
      <c r="V359" s="252">
        <v>0</v>
      </c>
      <c r="W359" s="294"/>
      <c r="X359" s="240"/>
      <c r="Y359" s="240"/>
      <c r="Z359" s="240"/>
      <c r="AA359" s="240"/>
      <c r="AB359" s="240"/>
      <c r="AD359" s="259"/>
      <c r="AE359" s="259"/>
      <c r="AF359" s="259"/>
      <c r="AG359" s="259"/>
      <c r="AH359" s="259"/>
      <c r="AI359" s="259"/>
      <c r="AJ359" s="259"/>
      <c r="AK359" s="259"/>
      <c r="AL359" s="259"/>
      <c r="AM359" s="259"/>
      <c r="AN359" s="259"/>
      <c r="AO359" s="259"/>
    </row>
    <row r="360" spans="1:41" s="120" customFormat="1" ht="12" x14ac:dyDescent="0.25">
      <c r="A360" s="131"/>
      <c r="B360" s="131"/>
      <c r="C360" s="131"/>
      <c r="D360" s="131"/>
      <c r="E360" s="131"/>
      <c r="F360" s="46"/>
      <c r="G360" s="199"/>
      <c r="H360" s="116"/>
      <c r="I360" s="120" t="str">
        <f t="shared" si="209"/>
        <v>Grozdje-vertikala podravska</v>
      </c>
      <c r="J360" s="45" t="str">
        <f>+J$64</f>
        <v>Stroški glavnega pridelka</v>
      </c>
      <c r="K360" s="46" t="str">
        <f>+K$64</f>
        <v>EUR/ha</v>
      </c>
      <c r="L360" s="308"/>
      <c r="M360" s="307"/>
      <c r="N360" s="308"/>
      <c r="O360" s="262">
        <f>+O358-O359</f>
        <v>11331.207656658986</v>
      </c>
      <c r="P360" s="125"/>
      <c r="Q360" s="262">
        <f t="shared" ref="Q360:T360" si="213">+Q358-Q359</f>
        <v>12198.373473583466</v>
      </c>
      <c r="R360" s="262">
        <f t="shared" si="213"/>
        <v>11814.557174424217</v>
      </c>
      <c r="S360" s="262">
        <f t="shared" si="213"/>
        <v>11331.207656658986</v>
      </c>
      <c r="T360" s="262">
        <f t="shared" si="213"/>
        <v>11063.784601695468</v>
      </c>
      <c r="U360" s="262">
        <f t="shared" ref="U360" si="214">+U358-U359</f>
        <v>12625.004908761941</v>
      </c>
      <c r="V360" s="262">
        <f t="shared" ref="V360" si="215">+V358-V359</f>
        <v>12383.474053191447</v>
      </c>
      <c r="W360" s="114"/>
      <c r="X360" s="240"/>
      <c r="Y360" s="240"/>
      <c r="Z360" s="240">
        <f t="shared" ref="Z360:AA363" si="216">R360/$Q360*100</f>
        <v>96.853545269863787</v>
      </c>
      <c r="AA360" s="240">
        <f t="shared" si="216"/>
        <v>92.891135700981806</v>
      </c>
      <c r="AB360" s="240"/>
      <c r="AD360" s="259"/>
      <c r="AE360" s="259"/>
      <c r="AF360" s="259"/>
      <c r="AG360" s="259"/>
      <c r="AH360" s="259"/>
      <c r="AI360" s="259"/>
      <c r="AJ360" s="259"/>
      <c r="AK360" s="259"/>
      <c r="AL360" s="259"/>
      <c r="AM360" s="259"/>
      <c r="AN360" s="259"/>
      <c r="AO360" s="259"/>
    </row>
    <row r="361" spans="1:41" s="120" customFormat="1" ht="12" x14ac:dyDescent="0.25">
      <c r="A361" s="131" t="s">
        <v>4</v>
      </c>
      <c r="B361" s="131" t="s">
        <v>0</v>
      </c>
      <c r="C361" s="131" t="s">
        <v>2</v>
      </c>
      <c r="D361" s="131" t="s">
        <v>1</v>
      </c>
      <c r="E361" s="131" t="s">
        <v>0</v>
      </c>
      <c r="F361" s="46"/>
      <c r="G361" s="199"/>
      <c r="H361" s="116"/>
      <c r="I361" s="120" t="str">
        <f t="shared" si="209"/>
        <v>Grozdje-vertikala podravska</v>
      </c>
      <c r="J361" s="45" t="str">
        <f>+J$65</f>
        <v>Subvencije</v>
      </c>
      <c r="K361" s="46" t="str">
        <f>+K$65</f>
        <v>EUR/ha</v>
      </c>
      <c r="L361" s="125"/>
      <c r="M361" s="307"/>
      <c r="N361" s="125"/>
      <c r="O361" s="252">
        <v>23.94</v>
      </c>
      <c r="P361" s="125"/>
      <c r="Q361" s="252">
        <v>23.94</v>
      </c>
      <c r="R361" s="252">
        <v>23.94</v>
      </c>
      <c r="S361" s="252">
        <v>23.94</v>
      </c>
      <c r="T361" s="252">
        <v>23.94</v>
      </c>
      <c r="U361" s="252">
        <v>23.94</v>
      </c>
      <c r="V361" s="252">
        <v>23.94</v>
      </c>
      <c r="W361" s="114"/>
      <c r="X361" s="240"/>
      <c r="Y361" s="240"/>
      <c r="Z361" s="240">
        <f t="shared" si="216"/>
        <v>100</v>
      </c>
      <c r="AA361" s="240">
        <f t="shared" si="216"/>
        <v>100</v>
      </c>
      <c r="AB361" s="240"/>
      <c r="AD361" s="259"/>
      <c r="AE361" s="259"/>
      <c r="AF361" s="259"/>
      <c r="AG361" s="259"/>
      <c r="AH361" s="259"/>
      <c r="AI361" s="259"/>
      <c r="AJ361" s="259"/>
      <c r="AK361" s="259"/>
      <c r="AL361" s="259"/>
      <c r="AM361" s="259"/>
      <c r="AN361" s="259"/>
      <c r="AO361" s="259"/>
    </row>
    <row r="362" spans="1:41" s="120" customFormat="1" ht="12" x14ac:dyDescent="0.25">
      <c r="A362" s="131"/>
      <c r="B362" s="131"/>
      <c r="C362" s="131" t="s">
        <v>13</v>
      </c>
      <c r="D362" s="131"/>
      <c r="E362" s="131"/>
      <c r="F362" s="46"/>
      <c r="G362" s="199"/>
      <c r="H362" s="116"/>
      <c r="I362" s="120" t="str">
        <f t="shared" si="209"/>
        <v>Grozdje-vertikala podravska</v>
      </c>
      <c r="J362" s="45" t="str">
        <f>+J$66</f>
        <v>Stroški, zmanjšani za subvencije</v>
      </c>
      <c r="K362" s="46" t="str">
        <f>+K$66</f>
        <v>EUR/ha</v>
      </c>
      <c r="L362" s="308"/>
      <c r="M362" s="307"/>
      <c r="N362" s="308"/>
      <c r="O362" s="264">
        <f>+O360-O361</f>
        <v>11307.267656658985</v>
      </c>
      <c r="P362" s="125"/>
      <c r="Q362" s="264">
        <f t="shared" ref="Q362:T362" si="217">+Q360-Q361</f>
        <v>12174.433473583465</v>
      </c>
      <c r="R362" s="264">
        <f t="shared" si="217"/>
        <v>11790.617174424217</v>
      </c>
      <c r="S362" s="264">
        <f t="shared" si="217"/>
        <v>11307.267656658985</v>
      </c>
      <c r="T362" s="264">
        <f t="shared" si="217"/>
        <v>11039.844601695468</v>
      </c>
      <c r="U362" s="264">
        <f t="shared" ref="U362" si="218">+U360-U361</f>
        <v>12601.06490876194</v>
      </c>
      <c r="V362" s="264">
        <f t="shared" ref="V362" si="219">+V360-V361</f>
        <v>12359.534053191446</v>
      </c>
      <c r="W362" s="114"/>
      <c r="X362" s="240"/>
      <c r="Y362" s="240"/>
      <c r="Z362" s="240">
        <f t="shared" si="216"/>
        <v>96.847358031139038</v>
      </c>
      <c r="AA362" s="240">
        <f t="shared" si="216"/>
        <v>92.877156716933982</v>
      </c>
      <c r="AB362" s="240"/>
      <c r="AD362" s="259"/>
      <c r="AE362" s="259"/>
      <c r="AF362" s="259"/>
      <c r="AG362" s="259"/>
      <c r="AH362" s="259"/>
      <c r="AI362" s="259"/>
      <c r="AJ362" s="259"/>
      <c r="AK362" s="259"/>
      <c r="AL362" s="259"/>
      <c r="AM362" s="259"/>
      <c r="AN362" s="259"/>
      <c r="AO362" s="259"/>
    </row>
    <row r="363" spans="1:41" s="120" customFormat="1" ht="12" x14ac:dyDescent="0.25">
      <c r="A363" s="131"/>
      <c r="B363" s="131"/>
      <c r="C363" s="131"/>
      <c r="D363" s="131"/>
      <c r="E363" s="131"/>
      <c r="F363" s="46"/>
      <c r="G363" s="199"/>
      <c r="H363" s="116"/>
      <c r="I363" s="120" t="str">
        <f t="shared" si="209"/>
        <v>Grozdje-vertikala podravska</v>
      </c>
      <c r="J363" s="45" t="str">
        <f>+J$67</f>
        <v>Stroški, zmanjšani za subvencije/kg</v>
      </c>
      <c r="K363" s="46" t="str">
        <f>+K$67</f>
        <v>EUR/kg</v>
      </c>
      <c r="L363" s="309"/>
      <c r="M363" s="310"/>
      <c r="N363" s="308"/>
      <c r="O363" s="270">
        <f>+O362/O354</f>
        <v>1.4134084570823731</v>
      </c>
      <c r="P363" s="311"/>
      <c r="Q363" s="270">
        <f t="shared" ref="Q363:T363" si="220">+Q362/Q354</f>
        <v>1.014536122798622</v>
      </c>
      <c r="R363" s="270">
        <f t="shared" si="220"/>
        <v>1.1790617174424216</v>
      </c>
      <c r="S363" s="270">
        <f t="shared" si="220"/>
        <v>1.4134084570823731</v>
      </c>
      <c r="T363" s="270">
        <f t="shared" si="220"/>
        <v>1.5771206573850669</v>
      </c>
      <c r="U363" s="270">
        <f t="shared" ref="U363" si="221">+U362/U354</f>
        <v>1.2445496206184632</v>
      </c>
      <c r="V363" s="270">
        <f t="shared" ref="V363" si="222">+V362/V354</f>
        <v>1.3732815614657163</v>
      </c>
      <c r="W363" s="114"/>
      <c r="X363" s="240"/>
      <c r="Y363" s="240"/>
      <c r="Z363" s="240">
        <f t="shared" si="216"/>
        <v>116.21682963736686</v>
      </c>
      <c r="AA363" s="240">
        <f t="shared" si="216"/>
        <v>139.31573507540099</v>
      </c>
      <c r="AB363" s="240"/>
      <c r="AD363" s="259"/>
      <c r="AE363" s="259"/>
      <c r="AF363" s="259"/>
      <c r="AG363" s="259"/>
      <c r="AH363" s="259"/>
      <c r="AI363" s="259"/>
      <c r="AJ363" s="259"/>
      <c r="AK363" s="259"/>
      <c r="AL363" s="259"/>
      <c r="AM363" s="259"/>
      <c r="AN363" s="259"/>
      <c r="AO363" s="259"/>
    </row>
    <row r="364" spans="1:41" s="120" customFormat="1" ht="12" x14ac:dyDescent="0.25">
      <c r="A364" s="131" t="s">
        <v>169</v>
      </c>
      <c r="B364" s="131"/>
      <c r="C364" s="131"/>
      <c r="D364" s="131"/>
      <c r="E364" s="131"/>
      <c r="F364" s="46"/>
      <c r="G364" s="199"/>
      <c r="H364" s="116"/>
      <c r="J364" s="45" t="str">
        <f t="shared" ref="J364" si="223">+J327</f>
        <v>davek_a</v>
      </c>
      <c r="K364" s="46"/>
      <c r="L364" s="125"/>
      <c r="M364" s="307"/>
      <c r="N364" s="125"/>
      <c r="O364" s="117">
        <v>0</v>
      </c>
      <c r="P364" s="125"/>
      <c r="Q364" s="117">
        <v>0</v>
      </c>
      <c r="R364" s="117">
        <v>0</v>
      </c>
      <c r="S364" s="117">
        <v>0</v>
      </c>
      <c r="T364" s="117">
        <v>0</v>
      </c>
      <c r="U364" s="117">
        <v>0</v>
      </c>
      <c r="V364" s="117">
        <v>0</v>
      </c>
      <c r="W364" s="315"/>
      <c r="X364" s="240"/>
      <c r="Y364" s="240"/>
      <c r="Z364" s="240"/>
      <c r="AA364" s="240"/>
      <c r="AB364" s="240"/>
      <c r="AD364" s="259"/>
      <c r="AE364" s="259"/>
      <c r="AF364" s="259"/>
      <c r="AG364" s="259"/>
      <c r="AH364" s="259"/>
      <c r="AI364" s="259"/>
      <c r="AJ364" s="259"/>
      <c r="AK364" s="259"/>
      <c r="AL364" s="259"/>
      <c r="AM364" s="259"/>
      <c r="AN364" s="259"/>
      <c r="AO364" s="259"/>
    </row>
    <row r="365" spans="1:41" s="120" customFormat="1" ht="12" x14ac:dyDescent="0.25">
      <c r="A365" s="46" t="s">
        <v>113</v>
      </c>
      <c r="B365" s="131"/>
      <c r="C365" s="131"/>
      <c r="D365" s="131"/>
      <c r="E365" s="131"/>
      <c r="F365" s="46"/>
      <c r="G365" s="199"/>
      <c r="H365" s="116"/>
      <c r="J365" s="45" t="str">
        <f t="shared" ref="J365:J370" si="224">+A365</f>
        <v>Pokoj obvezno</v>
      </c>
      <c r="K365" s="46"/>
      <c r="L365" s="125"/>
      <c r="M365" s="307"/>
      <c r="N365" s="125"/>
      <c r="O365" s="117">
        <v>364.78445764237125</v>
      </c>
      <c r="P365" s="125"/>
      <c r="Q365" s="117">
        <v>389.31553636634192</v>
      </c>
      <c r="R365" s="117">
        <v>377.13691932271087</v>
      </c>
      <c r="S365" s="117">
        <v>364.78445764237125</v>
      </c>
      <c r="T365" s="117">
        <v>358.67070442593058</v>
      </c>
      <c r="U365" s="117">
        <v>416.99040337578651</v>
      </c>
      <c r="V365" s="117">
        <v>409.98884454402929</v>
      </c>
      <c r="W365" s="114"/>
      <c r="X365" s="240"/>
      <c r="Y365" s="240"/>
      <c r="Z365" s="240"/>
      <c r="AA365" s="240"/>
      <c r="AB365" s="240"/>
      <c r="AD365" s="259"/>
      <c r="AE365" s="259"/>
      <c r="AF365" s="259"/>
      <c r="AG365" s="259"/>
      <c r="AH365" s="259"/>
      <c r="AI365" s="259"/>
      <c r="AJ365" s="259"/>
      <c r="AK365" s="259"/>
      <c r="AL365" s="259"/>
      <c r="AM365" s="259"/>
      <c r="AN365" s="259"/>
      <c r="AO365" s="259"/>
    </row>
    <row r="366" spans="1:41" s="120" customFormat="1" ht="12" x14ac:dyDescent="0.25">
      <c r="A366" s="46" t="s">
        <v>112</v>
      </c>
      <c r="B366" s="131"/>
      <c r="C366" s="131"/>
      <c r="D366" s="131"/>
      <c r="E366" s="131"/>
      <c r="F366" s="46"/>
      <c r="G366" s="199"/>
      <c r="H366" s="116"/>
      <c r="J366" s="45" t="str">
        <f t="shared" si="224"/>
        <v>Zdrav obvezno</v>
      </c>
      <c r="K366" s="46"/>
      <c r="L366" s="124"/>
      <c r="M366" s="312"/>
      <c r="N366" s="124"/>
      <c r="O366" s="117">
        <v>166.85947126996203</v>
      </c>
      <c r="P366" s="124"/>
      <c r="Q366" s="117">
        <v>178.08046147337828</v>
      </c>
      <c r="R366" s="117">
        <v>172.50972632245291</v>
      </c>
      <c r="S366" s="117">
        <v>166.85947126996203</v>
      </c>
      <c r="T366" s="117">
        <v>164.06292221805467</v>
      </c>
      <c r="U366" s="117">
        <v>190.73948128608555</v>
      </c>
      <c r="V366" s="117">
        <v>187.53683276239789</v>
      </c>
      <c r="W366" s="114"/>
      <c r="X366" s="240"/>
      <c r="Y366" s="240"/>
      <c r="Z366" s="240"/>
      <c r="AA366" s="240"/>
      <c r="AB366" s="240"/>
      <c r="AD366" s="259"/>
      <c r="AE366" s="259"/>
      <c r="AF366" s="259"/>
      <c r="AG366" s="259"/>
      <c r="AH366" s="259"/>
      <c r="AI366" s="259"/>
      <c r="AJ366" s="259"/>
      <c r="AK366" s="259"/>
      <c r="AL366" s="259"/>
      <c r="AM366" s="259"/>
      <c r="AN366" s="259"/>
      <c r="AO366" s="259"/>
    </row>
    <row r="367" spans="1:41" s="120" customFormat="1" ht="12" x14ac:dyDescent="0.25">
      <c r="A367" s="46" t="s">
        <v>111</v>
      </c>
      <c r="B367" s="131"/>
      <c r="C367" s="131"/>
      <c r="D367" s="131"/>
      <c r="E367" s="131"/>
      <c r="F367" s="46"/>
      <c r="G367" s="199"/>
      <c r="H367" s="116"/>
      <c r="J367" s="45" t="str">
        <f t="shared" si="224"/>
        <v>Pokoj dodatno</v>
      </c>
      <c r="K367" s="46"/>
      <c r="L367" s="125"/>
      <c r="M367" s="307"/>
      <c r="N367" s="125"/>
      <c r="O367" s="117">
        <v>308.24787849615029</v>
      </c>
      <c r="P367" s="125"/>
      <c r="Q367" s="117">
        <v>328.97697705138341</v>
      </c>
      <c r="R367" s="117">
        <v>318.68587832700553</v>
      </c>
      <c r="S367" s="117">
        <v>308.24787849615029</v>
      </c>
      <c r="T367" s="117">
        <v>303.08167303115641</v>
      </c>
      <c r="U367" s="117">
        <v>352.36261990047592</v>
      </c>
      <c r="V367" s="117">
        <v>346.44620649294257</v>
      </c>
      <c r="W367" s="294"/>
      <c r="X367" s="240"/>
      <c r="Y367" s="240"/>
      <c r="Z367" s="240"/>
      <c r="AA367" s="240"/>
      <c r="AB367" s="240"/>
      <c r="AD367" s="259"/>
      <c r="AE367" s="259"/>
      <c r="AF367" s="259"/>
      <c r="AG367" s="259"/>
      <c r="AH367" s="259"/>
      <c r="AI367" s="259"/>
      <c r="AJ367" s="259"/>
      <c r="AK367" s="259"/>
      <c r="AL367" s="259"/>
      <c r="AM367" s="259"/>
      <c r="AN367" s="259"/>
      <c r="AO367" s="259"/>
    </row>
    <row r="368" spans="1:41" s="120" customFormat="1" ht="12" x14ac:dyDescent="0.25">
      <c r="A368" s="46" t="s">
        <v>110</v>
      </c>
      <c r="B368" s="131"/>
      <c r="C368" s="131"/>
      <c r="D368" s="131"/>
      <c r="E368" s="131"/>
      <c r="F368" s="46"/>
      <c r="G368" s="199"/>
      <c r="H368" s="116"/>
      <c r="J368" s="45" t="str">
        <f t="shared" si="224"/>
        <v>Zdrav dodatno</v>
      </c>
      <c r="K368" s="46"/>
      <c r="L368" s="124"/>
      <c r="M368" s="312"/>
      <c r="N368" s="124"/>
      <c r="O368" s="117">
        <v>140.99854571211</v>
      </c>
      <c r="P368" s="124"/>
      <c r="Q368" s="117">
        <v>150.48043659963275</v>
      </c>
      <c r="R368" s="117">
        <v>145.77308886054635</v>
      </c>
      <c r="S368" s="117">
        <v>140.99854571211</v>
      </c>
      <c r="T368" s="117">
        <v>138.63542334134826</v>
      </c>
      <c r="U368" s="117">
        <v>161.17748226415316</v>
      </c>
      <c r="V368" s="117">
        <v>158.47120026032013</v>
      </c>
      <c r="W368" s="114"/>
      <c r="X368" s="240"/>
      <c r="Y368" s="240"/>
      <c r="Z368" s="240"/>
      <c r="AA368" s="240"/>
      <c r="AB368" s="240"/>
      <c r="AD368" s="259"/>
      <c r="AE368" s="259"/>
      <c r="AF368" s="259"/>
      <c r="AG368" s="259"/>
      <c r="AH368" s="259"/>
      <c r="AI368" s="259"/>
      <c r="AJ368" s="259"/>
      <c r="AK368" s="259"/>
      <c r="AL368" s="259"/>
      <c r="AM368" s="259"/>
      <c r="AN368" s="259"/>
      <c r="AO368" s="259"/>
    </row>
    <row r="369" spans="1:42" s="120" customFormat="1" ht="12" x14ac:dyDescent="0.25">
      <c r="A369" s="46" t="s">
        <v>109</v>
      </c>
      <c r="B369" s="131"/>
      <c r="C369" s="131"/>
      <c r="D369" s="131"/>
      <c r="E369" s="131"/>
      <c r="F369" s="46"/>
      <c r="G369" s="199"/>
      <c r="H369" s="116"/>
      <c r="J369" s="45" t="str">
        <f t="shared" si="224"/>
        <v>Regresi</v>
      </c>
      <c r="K369" s="46"/>
      <c r="L369" s="125"/>
      <c r="M369" s="307"/>
      <c r="N369" s="125"/>
      <c r="O369" s="117">
        <v>924.81759445511159</v>
      </c>
      <c r="P369" s="125"/>
      <c r="Q369" s="117">
        <v>987.00986372425155</v>
      </c>
      <c r="R369" s="117">
        <v>956.13409837263976</v>
      </c>
      <c r="S369" s="117">
        <v>924.81759445511159</v>
      </c>
      <c r="T369" s="117">
        <v>909.3177385148017</v>
      </c>
      <c r="U369" s="117">
        <v>1057.1724032687184</v>
      </c>
      <c r="V369" s="117">
        <v>1039.4217435008347</v>
      </c>
      <c r="W369" s="294"/>
      <c r="X369" s="240"/>
      <c r="Y369" s="240"/>
      <c r="Z369" s="240"/>
      <c r="AA369" s="240"/>
      <c r="AB369" s="240"/>
      <c r="AD369" s="259"/>
      <c r="AE369" s="259"/>
      <c r="AF369" s="259"/>
      <c r="AG369" s="259"/>
      <c r="AH369" s="259"/>
      <c r="AI369" s="259"/>
      <c r="AJ369" s="259"/>
      <c r="AK369" s="259"/>
      <c r="AL369" s="259"/>
      <c r="AM369" s="259"/>
      <c r="AN369" s="259"/>
      <c r="AO369" s="259"/>
    </row>
    <row r="370" spans="1:42" s="120" customFormat="1" ht="12" x14ac:dyDescent="0.25">
      <c r="A370" s="131" t="s">
        <v>28</v>
      </c>
      <c r="B370" s="131"/>
      <c r="C370" s="131"/>
      <c r="D370" s="131"/>
      <c r="E370" s="131"/>
      <c r="F370" s="46"/>
      <c r="G370" s="199"/>
      <c r="H370" s="116"/>
      <c r="J370" s="45" t="str">
        <f t="shared" si="224"/>
        <v>SUM element</v>
      </c>
      <c r="K370" s="46"/>
      <c r="L370" s="146"/>
      <c r="M370" s="260"/>
      <c r="N370" s="146"/>
      <c r="O370" s="252">
        <v>11331.207656658986</v>
      </c>
      <c r="P370" s="263"/>
      <c r="Q370" s="252">
        <v>12198.373473583466</v>
      </c>
      <c r="R370" s="252">
        <v>11814.557174424215</v>
      </c>
      <c r="S370" s="252">
        <v>11331.207656658986</v>
      </c>
      <c r="T370" s="252">
        <v>11063.784601695468</v>
      </c>
      <c r="U370" s="252">
        <v>12625.004908761939</v>
      </c>
      <c r="V370" s="252">
        <v>12383.474053191449</v>
      </c>
      <c r="W370" s="294"/>
      <c r="X370" s="240"/>
      <c r="Y370" s="242" t="s">
        <v>214</v>
      </c>
      <c r="Z370" s="242" t="s">
        <v>131</v>
      </c>
      <c r="AA370" s="240"/>
      <c r="AB370" s="240"/>
      <c r="AD370" s="259"/>
      <c r="AE370" s="259"/>
      <c r="AF370" s="259"/>
      <c r="AG370" s="259"/>
      <c r="AH370" s="259"/>
      <c r="AI370" s="259"/>
      <c r="AJ370" s="259"/>
      <c r="AK370" s="259"/>
      <c r="AL370" s="259"/>
      <c r="AM370" s="259"/>
      <c r="AN370" s="259"/>
      <c r="AO370" s="259"/>
    </row>
    <row r="371" spans="1:42" s="120" customFormat="1" ht="12" x14ac:dyDescent="0.25">
      <c r="A371" s="131" t="s">
        <v>4</v>
      </c>
      <c r="B371" s="131" t="s">
        <v>0</v>
      </c>
      <c r="C371" s="131" t="s">
        <v>2</v>
      </c>
      <c r="D371" s="131" t="s">
        <v>1</v>
      </c>
      <c r="E371" s="131" t="s">
        <v>0</v>
      </c>
      <c r="F371" s="46"/>
      <c r="G371" s="46"/>
      <c r="H371" s="116"/>
      <c r="J371" s="190" t="str">
        <f t="shared" ref="J371" si="225">+J334</f>
        <v>Subvencije</v>
      </c>
      <c r="K371" s="46"/>
      <c r="L371" s="146"/>
      <c r="M371" s="260"/>
      <c r="N371" s="146"/>
      <c r="O371" s="276">
        <v>23.94</v>
      </c>
      <c r="P371" s="303"/>
      <c r="Q371" s="276">
        <v>23.94</v>
      </c>
      <c r="R371" s="276">
        <v>23.94</v>
      </c>
      <c r="S371" s="276">
        <v>23.94</v>
      </c>
      <c r="T371" s="276">
        <v>23.94</v>
      </c>
      <c r="U371" s="276">
        <v>23.94</v>
      </c>
      <c r="V371" s="252">
        <v>23.94</v>
      </c>
      <c r="W371" s="294"/>
      <c r="X371" s="240"/>
      <c r="Y371" s="240"/>
      <c r="Z371" s="240"/>
      <c r="AA371" s="240"/>
      <c r="AB371" s="240"/>
      <c r="AD371" s="259"/>
      <c r="AE371" s="259"/>
      <c r="AF371" s="259"/>
      <c r="AG371" s="259"/>
      <c r="AH371" s="259"/>
      <c r="AI371" s="259"/>
      <c r="AJ371" s="259"/>
      <c r="AK371" s="259"/>
      <c r="AL371" s="259"/>
      <c r="AM371" s="259"/>
      <c r="AN371" s="259"/>
      <c r="AO371" s="259"/>
    </row>
    <row r="372" spans="1:42" s="120" customFormat="1" ht="39" customHeight="1" x14ac:dyDescent="0.25">
      <c r="A372" s="196" t="s">
        <v>29</v>
      </c>
      <c r="B372" s="131"/>
      <c r="C372" s="131"/>
      <c r="D372" s="131"/>
      <c r="E372" s="131"/>
      <c r="F372" s="46"/>
      <c r="G372" s="46"/>
      <c r="H372" s="116"/>
      <c r="J372" s="291" t="str">
        <f>+J335</f>
        <v>Vrednost pridelave_tržna</v>
      </c>
      <c r="K372" s="46"/>
      <c r="L372" s="146"/>
      <c r="M372" s="260"/>
      <c r="N372" s="146"/>
      <c r="O372" s="276">
        <v>5520</v>
      </c>
      <c r="P372" s="303"/>
      <c r="Q372" s="276">
        <v>8280</v>
      </c>
      <c r="R372" s="276">
        <v>6899.9999999999991</v>
      </c>
      <c r="S372" s="276">
        <v>5520</v>
      </c>
      <c r="T372" s="276">
        <v>4830</v>
      </c>
      <c r="U372" s="276">
        <v>6986.2499999999991</v>
      </c>
      <c r="V372" s="302">
        <v>6209.9999999999991</v>
      </c>
      <c r="W372" s="294"/>
      <c r="X372" s="240"/>
      <c r="Y372" s="240"/>
      <c r="Z372" s="240"/>
      <c r="AA372" s="240"/>
      <c r="AB372" s="240"/>
      <c r="AD372" s="259"/>
      <c r="AE372" s="259"/>
      <c r="AF372" s="259"/>
      <c r="AG372" s="259"/>
      <c r="AH372" s="259"/>
      <c r="AI372" s="259"/>
      <c r="AJ372" s="259"/>
      <c r="AK372" s="259"/>
      <c r="AL372" s="259"/>
      <c r="AM372" s="259"/>
      <c r="AN372" s="259"/>
      <c r="AO372" s="259"/>
    </row>
    <row r="373" spans="1:42" s="120" customFormat="1" ht="12" x14ac:dyDescent="0.25">
      <c r="A373" s="131"/>
      <c r="B373" s="131"/>
      <c r="C373" s="131"/>
      <c r="D373" s="131"/>
      <c r="E373" s="131"/>
      <c r="F373" s="46"/>
      <c r="G373" s="133"/>
      <c r="H373" s="116"/>
      <c r="J373" s="72"/>
      <c r="K373" s="128"/>
      <c r="L373" s="278"/>
      <c r="M373" s="279"/>
      <c r="N373" s="272"/>
      <c r="O373" s="280">
        <f>+O358-O371-O359</f>
        <v>11307.267656658985</v>
      </c>
      <c r="P373" s="146" t="s">
        <v>108</v>
      </c>
      <c r="Q373" s="280">
        <f t="shared" ref="Q373:T373" si="226">+Q358-Q371-Q359</f>
        <v>12174.433473583465</v>
      </c>
      <c r="R373" s="280">
        <f t="shared" si="226"/>
        <v>11790.617174424217</v>
      </c>
      <c r="S373" s="280">
        <f t="shared" si="226"/>
        <v>11307.267656658985</v>
      </c>
      <c r="T373" s="280">
        <f t="shared" si="226"/>
        <v>11039.844601695468</v>
      </c>
      <c r="U373" s="280">
        <f t="shared" ref="U373:V373" si="227">+U358-U371-U359</f>
        <v>12601.06490876194</v>
      </c>
      <c r="V373" s="280">
        <f t="shared" si="227"/>
        <v>12359.534053191446</v>
      </c>
      <c r="W373" s="294"/>
      <c r="X373" s="240"/>
      <c r="Y373" s="240"/>
      <c r="Z373" s="240"/>
      <c r="AA373" s="240"/>
      <c r="AB373" s="301"/>
      <c r="AD373" s="259"/>
      <c r="AE373" s="259"/>
      <c r="AF373" s="259"/>
      <c r="AG373" s="259"/>
      <c r="AH373" s="259"/>
      <c r="AI373" s="259"/>
      <c r="AJ373" s="259"/>
      <c r="AK373" s="259"/>
      <c r="AL373" s="259"/>
      <c r="AM373" s="259"/>
      <c r="AN373" s="259"/>
      <c r="AO373" s="259"/>
      <c r="AP373" s="72"/>
    </row>
    <row r="374" spans="1:42" s="120" customFormat="1" ht="12" x14ac:dyDescent="0.25">
      <c r="A374" s="131"/>
      <c r="B374" s="131"/>
      <c r="C374" s="131"/>
      <c r="D374" s="131"/>
      <c r="E374" s="131"/>
      <c r="F374" s="46"/>
      <c r="G374" s="128"/>
      <c r="H374" s="116"/>
      <c r="J374" s="72"/>
      <c r="K374" s="128"/>
      <c r="L374" s="278"/>
      <c r="M374" s="279"/>
      <c r="N374" s="272"/>
      <c r="O374" s="280">
        <f>O373-O365-O366</f>
        <v>10775.623727746653</v>
      </c>
      <c r="P374" s="146" t="s">
        <v>107</v>
      </c>
      <c r="Q374" s="280">
        <f t="shared" ref="Q374:T374" si="228">Q373-Q365-Q366</f>
        <v>11607.037475743744</v>
      </c>
      <c r="R374" s="280">
        <f t="shared" si="228"/>
        <v>11240.970528779053</v>
      </c>
      <c r="S374" s="280">
        <f t="shared" si="228"/>
        <v>10775.623727746653</v>
      </c>
      <c r="T374" s="280">
        <f t="shared" si="228"/>
        <v>10517.110975051482</v>
      </c>
      <c r="U374" s="280">
        <f t="shared" ref="U374" si="229">U373-U365-U366</f>
        <v>11993.335024100068</v>
      </c>
      <c r="V374" s="280">
        <f t="shared" ref="V374" si="230">V373-V365-V366</f>
        <v>11762.008375885018</v>
      </c>
      <c r="W374" s="304"/>
      <c r="X374" s="272"/>
      <c r="Y374" s="272"/>
      <c r="Z374" s="272"/>
      <c r="AA374" s="272"/>
      <c r="AB374" s="301"/>
      <c r="AD374" s="259"/>
      <c r="AE374" s="259"/>
      <c r="AF374" s="259"/>
      <c r="AG374" s="259"/>
      <c r="AH374" s="259"/>
      <c r="AI374" s="259"/>
      <c r="AJ374" s="259"/>
      <c r="AK374" s="259"/>
      <c r="AL374" s="259"/>
      <c r="AM374" s="259"/>
      <c r="AN374" s="259"/>
      <c r="AO374" s="259"/>
      <c r="AP374" s="46"/>
    </row>
    <row r="375" spans="1:42" s="120" customFormat="1" ht="12" x14ac:dyDescent="0.25">
      <c r="A375" s="131"/>
      <c r="B375" s="131"/>
      <c r="C375" s="131"/>
      <c r="D375" s="131"/>
      <c r="E375" s="131"/>
      <c r="F375" s="46"/>
      <c r="G375" s="45"/>
      <c r="H375" s="116"/>
      <c r="J375" s="45"/>
      <c r="K375" s="46"/>
      <c r="L375" s="257"/>
      <c r="M375" s="258"/>
      <c r="N375" s="272"/>
      <c r="O375" s="280">
        <f>O374-O367-O368-O369</f>
        <v>9401.5597090832835</v>
      </c>
      <c r="P375" s="146" t="s">
        <v>106</v>
      </c>
      <c r="Q375" s="280">
        <f t="shared" ref="Q375:T375" si="231">Q374-Q367-Q368-Q369</f>
        <v>10140.570198368476</v>
      </c>
      <c r="R375" s="280">
        <f t="shared" si="231"/>
        <v>9820.3774632188615</v>
      </c>
      <c r="S375" s="280">
        <f t="shared" si="231"/>
        <v>9401.5597090832835</v>
      </c>
      <c r="T375" s="280">
        <f t="shared" si="231"/>
        <v>9166.0761401641776</v>
      </c>
      <c r="U375" s="280">
        <f t="shared" ref="U375" si="232">U374-U367-U368-U369</f>
        <v>10422.622518666722</v>
      </c>
      <c r="V375" s="280">
        <f t="shared" ref="V375" si="233">V374-V367-V368-V369</f>
        <v>10217.66922563092</v>
      </c>
      <c r="W375" s="304"/>
      <c r="X375" s="272"/>
      <c r="Y375" s="272"/>
      <c r="Z375" s="272"/>
      <c r="AA375" s="272"/>
      <c r="AB375" s="316"/>
      <c r="AD375" s="259"/>
      <c r="AE375" s="259"/>
      <c r="AF375" s="259"/>
      <c r="AG375" s="259"/>
      <c r="AH375" s="259"/>
      <c r="AI375" s="259"/>
      <c r="AJ375" s="259"/>
      <c r="AK375" s="259"/>
      <c r="AL375" s="259"/>
      <c r="AM375" s="259"/>
      <c r="AN375" s="259"/>
      <c r="AO375" s="259"/>
      <c r="AP375" s="46"/>
    </row>
    <row r="376" spans="1:42" s="120" customFormat="1" ht="12" x14ac:dyDescent="0.25">
      <c r="A376" s="131"/>
      <c r="B376" s="131"/>
      <c r="C376" s="131"/>
      <c r="D376" s="131"/>
      <c r="E376" s="131"/>
      <c r="F376" s="46"/>
      <c r="G376" s="46"/>
      <c r="H376" s="116"/>
      <c r="J376" s="46"/>
      <c r="K376" s="46"/>
      <c r="L376" s="146"/>
      <c r="M376" s="260"/>
      <c r="N376" s="146"/>
      <c r="O376" s="282"/>
      <c r="P376" s="277"/>
      <c r="Q376" s="282"/>
      <c r="R376" s="282"/>
      <c r="S376" s="282"/>
      <c r="T376" s="282"/>
      <c r="U376" s="282"/>
      <c r="V376" s="282"/>
      <c r="W376" s="304"/>
      <c r="X376" s="257"/>
      <c r="Y376" s="257"/>
      <c r="Z376" s="257"/>
      <c r="AA376" s="257"/>
      <c r="AB376" s="203"/>
      <c r="AD376" s="259"/>
      <c r="AE376" s="259"/>
      <c r="AF376" s="259"/>
      <c r="AG376" s="259"/>
      <c r="AH376" s="259"/>
      <c r="AI376" s="259"/>
      <c r="AJ376" s="259"/>
      <c r="AK376" s="259"/>
      <c r="AL376" s="259"/>
      <c r="AM376" s="259"/>
      <c r="AN376" s="259"/>
      <c r="AO376" s="259"/>
      <c r="AP376" s="46"/>
    </row>
    <row r="377" spans="1:42" s="120" customFormat="1" ht="12" x14ac:dyDescent="0.25">
      <c r="A377" s="131"/>
      <c r="B377" s="131"/>
      <c r="C377" s="131"/>
      <c r="D377" s="131"/>
      <c r="E377" s="131"/>
      <c r="F377" s="46"/>
      <c r="G377" s="46"/>
      <c r="H377" s="116"/>
      <c r="J377" s="45"/>
      <c r="K377" s="46"/>
      <c r="L377" s="146"/>
      <c r="M377" s="260"/>
      <c r="N377" s="146"/>
      <c r="O377" s="285" t="str">
        <f>O356&amp;";"&amp;O355</f>
        <v>4000;2</v>
      </c>
      <c r="P377" s="305"/>
      <c r="Q377" s="285" t="str">
        <f>Q356&amp;";"&amp;Q355</f>
        <v>4000;3</v>
      </c>
      <c r="R377" s="285" t="str">
        <f t="shared" ref="R377:T377" si="234">R356&amp;";"&amp;R355</f>
        <v>4000;2,5</v>
      </c>
      <c r="S377" s="285" t="str">
        <f t="shared" si="234"/>
        <v>4000;2</v>
      </c>
      <c r="T377" s="285" t="str">
        <f t="shared" si="234"/>
        <v>4000;1,75</v>
      </c>
      <c r="U377" s="285" t="str">
        <f t="shared" ref="U377:V377" si="235">U356&amp;";"&amp;U355</f>
        <v>4500;2,25</v>
      </c>
      <c r="V377" s="285" t="str">
        <f t="shared" si="235"/>
        <v>4500;2</v>
      </c>
      <c r="W377" s="114"/>
      <c r="X377" s="146"/>
      <c r="Y377" s="146"/>
      <c r="Z377" s="146"/>
      <c r="AA377" s="146"/>
      <c r="AB377" s="203"/>
      <c r="AD377" s="259"/>
      <c r="AE377" s="259"/>
      <c r="AF377" s="259"/>
      <c r="AG377" s="259"/>
      <c r="AH377" s="259"/>
      <c r="AI377" s="259"/>
      <c r="AJ377" s="259"/>
      <c r="AK377" s="259"/>
      <c r="AL377" s="259"/>
      <c r="AM377" s="259"/>
      <c r="AN377" s="259"/>
      <c r="AO377" s="259"/>
      <c r="AP377" s="46"/>
    </row>
    <row r="378" spans="1:42" s="120" customFormat="1" ht="12" x14ac:dyDescent="0.25">
      <c r="A378" s="131"/>
      <c r="B378" s="131"/>
      <c r="C378" s="131"/>
      <c r="D378" s="131"/>
      <c r="E378" s="131"/>
      <c r="F378" s="46"/>
      <c r="G378" s="46"/>
      <c r="H378" s="116"/>
      <c r="J378" s="46"/>
      <c r="K378" s="46"/>
      <c r="L378" s="146"/>
      <c r="M378" s="260"/>
      <c r="N378" s="146"/>
      <c r="O378" s="287">
        <f>+O373/O354*1000</f>
        <v>1413.4084570823732</v>
      </c>
      <c r="P378" s="273" t="s">
        <v>105</v>
      </c>
      <c r="Q378" s="287">
        <f t="shared" ref="Q378:T378" si="236">+Q373/Q354*1000</f>
        <v>1014.536122798622</v>
      </c>
      <c r="R378" s="287">
        <f t="shared" si="236"/>
        <v>1179.0617174424217</v>
      </c>
      <c r="S378" s="287">
        <f t="shared" si="236"/>
        <v>1413.4084570823732</v>
      </c>
      <c r="T378" s="287">
        <f t="shared" si="236"/>
        <v>1577.1206573850668</v>
      </c>
      <c r="U378" s="287">
        <f t="shared" ref="U378:V378" si="237">+U373/U354*1000</f>
        <v>1244.5496206184632</v>
      </c>
      <c r="V378" s="287">
        <f t="shared" si="237"/>
        <v>1373.2815614657163</v>
      </c>
      <c r="W378" s="114"/>
      <c r="X378" s="146"/>
      <c r="Y378" s="146"/>
      <c r="Z378" s="146"/>
      <c r="AA378" s="146"/>
      <c r="AB378" s="203"/>
      <c r="AD378" s="259"/>
      <c r="AE378" s="259"/>
      <c r="AF378" s="259"/>
      <c r="AG378" s="259"/>
      <c r="AH378" s="259"/>
      <c r="AI378" s="259"/>
      <c r="AJ378" s="259"/>
      <c r="AK378" s="259"/>
      <c r="AL378" s="259"/>
      <c r="AM378" s="259"/>
      <c r="AN378" s="259"/>
      <c r="AO378" s="259"/>
      <c r="AP378" s="46"/>
    </row>
    <row r="379" spans="1:42" s="120" customFormat="1" ht="12" x14ac:dyDescent="0.25">
      <c r="A379" s="131"/>
      <c r="B379" s="131"/>
      <c r="C379" s="131"/>
      <c r="D379" s="131"/>
      <c r="E379" s="131"/>
      <c r="F379" s="46"/>
      <c r="G379" s="46"/>
      <c r="H379" s="116"/>
      <c r="J379" s="46"/>
      <c r="K379" s="46"/>
      <c r="L379" s="146"/>
      <c r="M379" s="260"/>
      <c r="N379" s="146"/>
      <c r="O379" s="287">
        <f>+O378*O374/O373</f>
        <v>1346.9529659683317</v>
      </c>
      <c r="P379" s="273" t="s">
        <v>104</v>
      </c>
      <c r="Q379" s="287">
        <f t="shared" ref="Q379:T379" si="238">+Q378*Q374/Q373</f>
        <v>967.25312297864525</v>
      </c>
      <c r="R379" s="287">
        <f t="shared" si="238"/>
        <v>1124.0970528779053</v>
      </c>
      <c r="S379" s="287">
        <f t="shared" si="238"/>
        <v>1346.9529659683317</v>
      </c>
      <c r="T379" s="287">
        <f t="shared" si="238"/>
        <v>1502.4444250073545</v>
      </c>
      <c r="U379" s="287">
        <f t="shared" ref="U379" si="239">+U378*U374/U373</f>
        <v>1184.5269159605004</v>
      </c>
      <c r="V379" s="287">
        <f t="shared" ref="V379" si="240">+V378*V374/V373</f>
        <v>1306.8898195427798</v>
      </c>
      <c r="W379" s="114"/>
      <c r="X379" s="146"/>
      <c r="Y379" s="146"/>
      <c r="Z379" s="146"/>
      <c r="AA379" s="146"/>
      <c r="AB379" s="203"/>
      <c r="AD379" s="259"/>
      <c r="AE379" s="259"/>
      <c r="AF379" s="259"/>
      <c r="AG379" s="259"/>
      <c r="AH379" s="259"/>
      <c r="AI379" s="259"/>
      <c r="AJ379" s="259"/>
      <c r="AK379" s="259"/>
      <c r="AL379" s="259"/>
      <c r="AM379" s="259"/>
      <c r="AN379" s="259"/>
      <c r="AO379" s="259"/>
      <c r="AP379" s="46"/>
    </row>
    <row r="380" spans="1:42" s="120" customFormat="1" ht="12" x14ac:dyDescent="0.25">
      <c r="A380" s="131"/>
      <c r="B380" s="131"/>
      <c r="C380" s="131"/>
      <c r="D380" s="131"/>
      <c r="E380" s="131"/>
      <c r="F380" s="46"/>
      <c r="G380" s="46"/>
      <c r="H380" s="116"/>
      <c r="J380" s="46"/>
      <c r="K380" s="46"/>
      <c r="L380" s="146"/>
      <c r="M380" s="260"/>
      <c r="N380" s="146"/>
      <c r="O380" s="287">
        <f>+O378*O375/O373</f>
        <v>1175.1949636354104</v>
      </c>
      <c r="P380" s="273" t="s">
        <v>103</v>
      </c>
      <c r="Q380" s="287">
        <f t="shared" ref="Q380:T380" si="241">+Q378*Q375/Q373</f>
        <v>845.04751653070616</v>
      </c>
      <c r="R380" s="287">
        <f t="shared" si="241"/>
        <v>982.03774632188617</v>
      </c>
      <c r="S380" s="287">
        <f t="shared" si="241"/>
        <v>1175.1949636354104</v>
      </c>
      <c r="T380" s="287">
        <f t="shared" si="241"/>
        <v>1309.4394485948826</v>
      </c>
      <c r="U380" s="287">
        <f t="shared" ref="U380:V380" si="242">+U378*U375/U373</f>
        <v>1029.3948166584416</v>
      </c>
      <c r="V380" s="287">
        <f t="shared" si="242"/>
        <v>1135.2965806256577</v>
      </c>
      <c r="W380" s="114"/>
      <c r="X380" s="146"/>
      <c r="Y380" s="146"/>
      <c r="Z380" s="146"/>
      <c r="AA380" s="146"/>
      <c r="AB380" s="203"/>
      <c r="AD380" s="259"/>
      <c r="AE380" s="259"/>
      <c r="AF380" s="259"/>
      <c r="AG380" s="259"/>
      <c r="AH380" s="259"/>
      <c r="AI380" s="259"/>
      <c r="AJ380" s="259"/>
      <c r="AK380" s="259"/>
      <c r="AL380" s="259"/>
      <c r="AM380" s="259"/>
      <c r="AN380" s="259"/>
      <c r="AO380" s="259"/>
      <c r="AP380" s="46"/>
    </row>
    <row r="381" spans="1:42" s="120" customFormat="1" ht="12" x14ac:dyDescent="0.25">
      <c r="A381" s="131"/>
      <c r="B381" s="131"/>
      <c r="C381" s="131"/>
      <c r="D381" s="131"/>
      <c r="E381" s="131"/>
      <c r="F381" s="46"/>
      <c r="G381" s="46"/>
      <c r="H381" s="116"/>
      <c r="J381" s="46"/>
      <c r="K381" s="46"/>
      <c r="L381" s="146"/>
      <c r="M381" s="260"/>
      <c r="N381" s="146"/>
      <c r="O381" s="287">
        <f>+O378-O380</f>
        <v>238.21349344696273</v>
      </c>
      <c r="P381" s="273" t="s">
        <v>102</v>
      </c>
      <c r="Q381" s="287">
        <f t="shared" ref="Q381:T381" si="243">+Q378-Q380</f>
        <v>169.48860626791588</v>
      </c>
      <c r="R381" s="287">
        <f t="shared" si="243"/>
        <v>197.02397112053552</v>
      </c>
      <c r="S381" s="287">
        <f t="shared" si="243"/>
        <v>238.21349344696273</v>
      </c>
      <c r="T381" s="287">
        <f t="shared" si="243"/>
        <v>267.6812087901842</v>
      </c>
      <c r="U381" s="287">
        <f t="shared" ref="U381" si="244">+U378-U380</f>
        <v>215.15480396002158</v>
      </c>
      <c r="V381" s="287">
        <f t="shared" ref="V381" si="245">+V378-V380</f>
        <v>237.9849808400586</v>
      </c>
      <c r="W381" s="114"/>
      <c r="X381" s="146"/>
      <c r="Y381" s="146"/>
      <c r="Z381" s="146"/>
      <c r="AA381" s="146"/>
      <c r="AB381" s="203"/>
      <c r="AD381" s="259"/>
      <c r="AE381" s="259"/>
      <c r="AF381" s="259"/>
      <c r="AG381" s="259"/>
      <c r="AH381" s="259"/>
      <c r="AI381" s="259"/>
      <c r="AJ381" s="259"/>
      <c r="AK381" s="259"/>
      <c r="AL381" s="259"/>
      <c r="AM381" s="259"/>
      <c r="AN381" s="259"/>
      <c r="AO381" s="259"/>
      <c r="AP381" s="46"/>
    </row>
    <row r="382" spans="1:42" s="120" customFormat="1" ht="12" x14ac:dyDescent="0.25">
      <c r="A382" s="131"/>
      <c r="B382" s="131"/>
      <c r="C382" s="131"/>
      <c r="D382" s="131"/>
      <c r="E382" s="131"/>
      <c r="F382" s="46"/>
      <c r="G382" s="45"/>
      <c r="H382" s="116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114"/>
      <c r="X382" s="146"/>
      <c r="Y382" s="146"/>
      <c r="Z382" s="146"/>
      <c r="AA382" s="146"/>
      <c r="AB382" s="316"/>
      <c r="AD382" s="259"/>
      <c r="AE382" s="259"/>
      <c r="AF382" s="259"/>
      <c r="AG382" s="259"/>
      <c r="AH382" s="259"/>
      <c r="AI382" s="259"/>
      <c r="AJ382" s="259"/>
      <c r="AK382" s="259"/>
      <c r="AL382" s="259"/>
      <c r="AM382" s="259"/>
      <c r="AN382" s="259"/>
      <c r="AO382" s="259"/>
      <c r="AP382" s="45"/>
    </row>
    <row r="383" spans="1:42" s="120" customFormat="1" ht="12" x14ac:dyDescent="0.25">
      <c r="A383" s="131" t="s">
        <v>30</v>
      </c>
      <c r="B383" s="131"/>
      <c r="C383" s="131"/>
      <c r="D383" s="131"/>
      <c r="E383" s="131"/>
      <c r="F383" s="46">
        <v>1000</v>
      </c>
      <c r="G383" s="46"/>
      <c r="H383" s="116"/>
      <c r="J383" s="289" t="s">
        <v>236</v>
      </c>
      <c r="K383" s="46"/>
      <c r="L383" s="146"/>
      <c r="M383" s="260"/>
      <c r="N383" s="306"/>
      <c r="O383" s="290">
        <v>690</v>
      </c>
      <c r="P383" s="289" t="str">
        <f>J383</f>
        <v>Odkupna cena; ocena KIS</v>
      </c>
      <c r="Q383" s="290">
        <v>690</v>
      </c>
      <c r="R383" s="290">
        <v>690</v>
      </c>
      <c r="S383" s="290">
        <v>690</v>
      </c>
      <c r="T383" s="290">
        <v>690</v>
      </c>
      <c r="U383" s="290">
        <v>690</v>
      </c>
      <c r="V383" s="290">
        <v>690</v>
      </c>
      <c r="W383" s="294"/>
      <c r="X383" s="257"/>
      <c r="Y383" s="257"/>
      <c r="Z383" s="257"/>
      <c r="AA383" s="257"/>
      <c r="AB383" s="203"/>
      <c r="AD383" s="259"/>
      <c r="AE383" s="259"/>
      <c r="AF383" s="259"/>
      <c r="AG383" s="259"/>
      <c r="AH383" s="259"/>
      <c r="AI383" s="259"/>
      <c r="AJ383" s="259"/>
      <c r="AK383" s="259"/>
      <c r="AL383" s="259"/>
      <c r="AM383" s="259"/>
      <c r="AN383" s="259"/>
      <c r="AO383" s="259"/>
    </row>
    <row r="384" spans="1:42" s="120" customFormat="1" ht="12" x14ac:dyDescent="0.25">
      <c r="A384" s="131"/>
      <c r="B384" s="131"/>
      <c r="C384" s="131"/>
      <c r="D384" s="131"/>
      <c r="E384" s="131"/>
      <c r="F384" s="46"/>
      <c r="G384" s="45"/>
      <c r="H384" s="116"/>
      <c r="J384" s="291" t="str">
        <f>+J347</f>
        <v>Bruto dodana vrednost</v>
      </c>
      <c r="K384" s="46"/>
      <c r="L384" s="257"/>
      <c r="M384" s="258"/>
      <c r="N384" s="257"/>
      <c r="O384" s="292">
        <f>O372+O371+O359-O357</f>
        <v>1365.2937190621824</v>
      </c>
      <c r="P384" s="288"/>
      <c r="Q384" s="292">
        <f t="shared" ref="Q384:T384" si="246">Q372+Q371+Q359-Q357</f>
        <v>3597.646208020722</v>
      </c>
      <c r="R384" s="292">
        <f t="shared" si="246"/>
        <v>2433.6194721472775</v>
      </c>
      <c r="S384" s="292">
        <f t="shared" si="246"/>
        <v>1365.2937190621824</v>
      </c>
      <c r="T384" s="292">
        <f t="shared" si="246"/>
        <v>857.56878651030274</v>
      </c>
      <c r="U384" s="292">
        <f t="shared" ref="U384:V384" si="247">U372+U371+U359-U357</f>
        <v>2352.2829472173253</v>
      </c>
      <c r="V384" s="292">
        <f t="shared" si="247"/>
        <v>1720.5014166167921</v>
      </c>
      <c r="W384" s="114"/>
      <c r="X384" s="146"/>
      <c r="Y384" s="146"/>
      <c r="Z384" s="146"/>
      <c r="AA384" s="146"/>
      <c r="AB384" s="316"/>
      <c r="AD384" s="259"/>
      <c r="AE384" s="259"/>
      <c r="AF384" s="259"/>
      <c r="AG384" s="259"/>
      <c r="AH384" s="259"/>
      <c r="AI384" s="259"/>
      <c r="AJ384" s="259"/>
      <c r="AK384" s="259"/>
      <c r="AL384" s="259"/>
      <c r="AM384" s="259"/>
      <c r="AN384" s="259"/>
      <c r="AO384" s="259"/>
    </row>
    <row r="385" spans="1:41" s="120" customFormat="1" ht="12" x14ac:dyDescent="0.25">
      <c r="A385" s="196" t="s">
        <v>26</v>
      </c>
      <c r="B385" s="131"/>
      <c r="C385" s="131"/>
      <c r="D385" s="131"/>
      <c r="E385" s="131"/>
      <c r="F385" s="46"/>
      <c r="G385" s="146"/>
      <c r="H385" s="116"/>
      <c r="J385" s="275" t="s">
        <v>26</v>
      </c>
      <c r="K385" s="128"/>
      <c r="L385" s="146"/>
      <c r="M385" s="260"/>
      <c r="N385" s="146"/>
      <c r="O385" s="117">
        <v>2144.4241982744165</v>
      </c>
      <c r="P385" s="124"/>
      <c r="Q385" s="117">
        <v>2194.7447374957055</v>
      </c>
      <c r="R385" s="117">
        <v>2169.9588729831808</v>
      </c>
      <c r="S385" s="117">
        <v>2144.4241982744165</v>
      </c>
      <c r="T385" s="117">
        <v>2131.9157641276679</v>
      </c>
      <c r="U385" s="117">
        <v>2308.6983303060933</v>
      </c>
      <c r="V385" s="252">
        <v>2294.11500302073</v>
      </c>
      <c r="W385" s="294"/>
      <c r="X385" s="257"/>
      <c r="Y385" s="257"/>
      <c r="Z385" s="257"/>
      <c r="AA385" s="257"/>
      <c r="AB385" s="203"/>
      <c r="AD385" s="259"/>
      <c r="AE385" s="259"/>
      <c r="AF385" s="259"/>
      <c r="AG385" s="259"/>
      <c r="AH385" s="259"/>
      <c r="AI385" s="259"/>
      <c r="AJ385" s="259"/>
      <c r="AK385" s="259"/>
      <c r="AL385" s="259"/>
      <c r="AM385" s="259"/>
      <c r="AN385" s="259"/>
      <c r="AO385" s="259"/>
    </row>
    <row r="386" spans="1:41" s="120" customFormat="1" ht="12" x14ac:dyDescent="0.25">
      <c r="A386" s="131"/>
      <c r="B386" s="131"/>
      <c r="C386" s="131"/>
      <c r="D386" s="131"/>
      <c r="E386" s="131"/>
      <c r="G386" s="203"/>
      <c r="H386" s="116"/>
      <c r="J386" s="46" t="s">
        <v>190</v>
      </c>
      <c r="K386" s="128"/>
      <c r="L386" s="146"/>
      <c r="M386" s="260"/>
      <c r="N386" s="146"/>
      <c r="O386" s="313">
        <f>+O384-O385</f>
        <v>-779.13047921223415</v>
      </c>
      <c r="P386" s="124"/>
      <c r="Q386" s="313">
        <f t="shared" ref="Q386:T386" si="248">+Q384-Q385</f>
        <v>1402.9014705250165</v>
      </c>
      <c r="R386" s="313">
        <f t="shared" si="248"/>
        <v>263.66059916409677</v>
      </c>
      <c r="S386" s="313">
        <f t="shared" si="248"/>
        <v>-779.13047921223415</v>
      </c>
      <c r="T386" s="313">
        <f t="shared" si="248"/>
        <v>-1274.3469776173652</v>
      </c>
      <c r="U386" s="313">
        <f t="shared" ref="U386" si="249">+U384-U385</f>
        <v>43.584616911231933</v>
      </c>
      <c r="V386" s="252">
        <f t="shared" ref="V386" si="250">+V384-V385</f>
        <v>-573.61358640393792</v>
      </c>
      <c r="W386" s="294"/>
      <c r="X386" s="257"/>
      <c r="Y386" s="257"/>
      <c r="Z386" s="257"/>
      <c r="AA386" s="257"/>
      <c r="AB386" s="203"/>
      <c r="AD386" s="259"/>
      <c r="AE386" s="259"/>
      <c r="AF386" s="259"/>
      <c r="AG386" s="259"/>
      <c r="AH386" s="259"/>
      <c r="AI386" s="259"/>
      <c r="AJ386" s="259"/>
      <c r="AK386" s="259"/>
      <c r="AL386" s="259"/>
      <c r="AM386" s="259"/>
      <c r="AN386" s="259"/>
      <c r="AO386" s="259"/>
    </row>
    <row r="387" spans="1:41" s="120" customFormat="1" ht="12" x14ac:dyDescent="0.25">
      <c r="A387" s="131"/>
      <c r="B387" s="131"/>
      <c r="C387" s="131"/>
      <c r="D387" s="131"/>
      <c r="E387" s="131"/>
      <c r="G387" s="198"/>
      <c r="H387" s="145"/>
      <c r="I387" s="145" t="str">
        <f>+J389</f>
        <v>Grozdje-terase primorska</v>
      </c>
      <c r="J387" s="144" t="s">
        <v>23</v>
      </c>
      <c r="K387" s="145"/>
      <c r="L387" s="145"/>
      <c r="M387" s="145"/>
      <c r="N387" s="145"/>
      <c r="O387" s="238">
        <f>O395-O407+O400-'2023'!E369</f>
        <v>1.9871111111111173E-2</v>
      </c>
      <c r="P387" s="145"/>
      <c r="Q387" s="238">
        <f>Q395-Q407+Q400-'2023'!H369</f>
        <v>1.4903333335152258E-2</v>
      </c>
      <c r="R387" s="238">
        <f>R395-R407+R400-'2023'!I369</f>
        <v>1.7883999998180911E-2</v>
      </c>
      <c r="S387" s="238">
        <f>S395-S407+S400-'2023'!J369</f>
        <v>1.9871111111111173E-2</v>
      </c>
      <c r="T387" s="238">
        <f>T395-T407+T400-'2023'!K369</f>
        <v>2.2354999998180913E-2</v>
      </c>
      <c r="U387" s="238">
        <f>U395-U407+U400-'2023'!L369</f>
        <v>1.9871111112930162E-2</v>
      </c>
      <c r="V387" s="238">
        <f>V395-V407+V400-'2023'!M369</f>
        <v>1.9871111111111173E-2</v>
      </c>
      <c r="W387" s="294"/>
      <c r="X387" s="257"/>
      <c r="Y387" s="145"/>
      <c r="Z387" s="145"/>
      <c r="AA387" s="145"/>
      <c r="AB387" s="198"/>
      <c r="AC387" s="198"/>
      <c r="AD387" s="259"/>
      <c r="AE387" s="259"/>
      <c r="AF387" s="259"/>
      <c r="AG387" s="259"/>
      <c r="AH387" s="259"/>
      <c r="AI387" s="259"/>
      <c r="AJ387" s="259"/>
      <c r="AK387" s="259"/>
      <c r="AL387" s="259"/>
      <c r="AM387" s="259"/>
      <c r="AN387" s="259"/>
      <c r="AO387" s="259"/>
    </row>
    <row r="388" spans="1:41" s="120" customFormat="1" ht="12" x14ac:dyDescent="0.25">
      <c r="A388" s="131"/>
      <c r="B388" s="131"/>
      <c r="C388" s="131"/>
      <c r="D388" s="131"/>
      <c r="E388" s="131"/>
      <c r="G388" s="199"/>
      <c r="H388" s="320"/>
      <c r="I388" s="120" t="str">
        <f t="shared" ref="I388:I409" si="251">+I387</f>
        <v>Grozdje-terase primorska</v>
      </c>
      <c r="J388" s="118" t="s">
        <v>149</v>
      </c>
      <c r="K388" s="119"/>
      <c r="L388" s="119"/>
      <c r="M388" s="241"/>
      <c r="N388" s="119"/>
      <c r="O388" s="297" t="e">
        <f>#REF!</f>
        <v>#REF!</v>
      </c>
      <c r="P388" s="297"/>
      <c r="Q388" s="242" t="e">
        <f>#REF!</f>
        <v>#REF!</v>
      </c>
      <c r="R388" s="242" t="e">
        <f>#REF!</f>
        <v>#REF!</v>
      </c>
      <c r="S388" s="242" t="e">
        <f>#REF!</f>
        <v>#REF!</v>
      </c>
      <c r="T388" s="242" t="e">
        <f>#REF!</f>
        <v>#REF!</v>
      </c>
      <c r="U388" s="242" t="e">
        <f>#REF!</f>
        <v>#REF!</v>
      </c>
      <c r="V388" s="119" t="e">
        <f>#REF!</f>
        <v>#REF!</v>
      </c>
      <c r="W388" s="119"/>
      <c r="X388" s="242" t="e">
        <f>#REF!</f>
        <v>#REF!</v>
      </c>
      <c r="Y388" s="242"/>
      <c r="Z388" s="119"/>
      <c r="AA388" s="119"/>
      <c r="AB388" s="198"/>
      <c r="AC388" s="198"/>
      <c r="AD388" s="259"/>
      <c r="AE388" s="259"/>
      <c r="AF388" s="259"/>
      <c r="AG388" s="259"/>
      <c r="AH388" s="259"/>
      <c r="AI388" s="259"/>
      <c r="AJ388" s="259"/>
      <c r="AK388" s="259"/>
      <c r="AL388" s="259"/>
      <c r="AM388" s="259"/>
      <c r="AN388" s="259"/>
      <c r="AO388" s="259"/>
    </row>
    <row r="389" spans="1:41" s="120" customFormat="1" ht="12" x14ac:dyDescent="0.25">
      <c r="A389" s="131"/>
      <c r="B389" s="131"/>
      <c r="C389" s="131"/>
      <c r="D389" s="131"/>
      <c r="E389" s="131"/>
      <c r="F389" s="120" t="e">
        <f>#REF!</f>
        <v>#REF!</v>
      </c>
      <c r="G389" s="199"/>
      <c r="H389" s="320"/>
      <c r="I389" s="120" t="str">
        <f t="shared" si="251"/>
        <v>Grozdje-terase primorska</v>
      </c>
      <c r="J389" s="122" t="s">
        <v>269</v>
      </c>
      <c r="K389" s="46" t="str">
        <f>+K$56</f>
        <v>Enota</v>
      </c>
      <c r="L389" s="186"/>
      <c r="M389" s="243"/>
      <c r="N389" s="237"/>
      <c r="O389" s="191"/>
      <c r="P389" s="191"/>
      <c r="Q389" s="46"/>
      <c r="R389" s="46"/>
      <c r="S389" s="191"/>
      <c r="T389" s="46"/>
      <c r="U389" s="191"/>
      <c r="AB389" s="321"/>
      <c r="AC389" s="321"/>
      <c r="AD389" s="259"/>
      <c r="AE389" s="259"/>
      <c r="AF389" s="259"/>
      <c r="AG389" s="259"/>
      <c r="AH389" s="259"/>
      <c r="AI389" s="259"/>
      <c r="AJ389" s="259"/>
      <c r="AK389" s="259"/>
      <c r="AL389" s="259"/>
      <c r="AM389" s="259"/>
      <c r="AN389" s="259"/>
      <c r="AO389" s="259"/>
    </row>
    <row r="390" spans="1:41" s="120" customFormat="1" ht="12" x14ac:dyDescent="0.25">
      <c r="A390" s="131"/>
      <c r="B390" s="131"/>
      <c r="C390" s="131"/>
      <c r="D390" s="131"/>
      <c r="E390" s="131"/>
      <c r="G390" s="199"/>
      <c r="H390" s="320"/>
      <c r="I390" s="120" t="str">
        <f t="shared" si="251"/>
        <v>Grozdje-terase primorska</v>
      </c>
      <c r="J390" s="45" t="s">
        <v>84</v>
      </c>
      <c r="K390" s="46"/>
      <c r="L390" s="186"/>
      <c r="M390" s="243"/>
      <c r="N390" s="237"/>
      <c r="O390" s="191"/>
      <c r="P390" s="191"/>
      <c r="Q390" s="186"/>
      <c r="R390" s="186"/>
      <c r="S390" s="186"/>
      <c r="T390" s="186"/>
      <c r="U390" s="186"/>
      <c r="V390" s="186"/>
      <c r="W390" s="186"/>
      <c r="X390" s="237"/>
      <c r="Y390" s="186"/>
      <c r="Z390" s="186"/>
      <c r="AA390" s="186"/>
      <c r="AB390" s="322"/>
      <c r="AC390" s="322"/>
      <c r="AD390" s="259"/>
      <c r="AE390" s="259"/>
      <c r="AF390" s="259"/>
      <c r="AG390" s="259"/>
      <c r="AH390" s="259"/>
      <c r="AI390" s="259"/>
      <c r="AJ390" s="259"/>
      <c r="AK390" s="259"/>
      <c r="AL390" s="259"/>
      <c r="AM390" s="259"/>
      <c r="AN390" s="259"/>
      <c r="AO390" s="259"/>
    </row>
    <row r="391" spans="1:41" s="120" customFormat="1" ht="12" x14ac:dyDescent="0.25">
      <c r="A391" s="131" t="s">
        <v>22</v>
      </c>
      <c r="B391" s="131"/>
      <c r="C391" s="131"/>
      <c r="D391" s="131"/>
      <c r="E391" s="131"/>
      <c r="F391" s="46"/>
      <c r="G391" s="199"/>
      <c r="H391" s="320"/>
      <c r="I391" s="120" t="str">
        <f t="shared" si="251"/>
        <v>Grozdje-terase primorska</v>
      </c>
      <c r="J391" s="45" t="s">
        <v>21</v>
      </c>
      <c r="K391" s="46" t="s">
        <v>76</v>
      </c>
      <c r="L391" s="245"/>
      <c r="M391" s="298"/>
      <c r="N391" s="247"/>
      <c r="O391" s="252">
        <v>9000</v>
      </c>
      <c r="P391" s="46"/>
      <c r="Q391" s="252">
        <v>12000</v>
      </c>
      <c r="R391" s="252">
        <v>10000</v>
      </c>
      <c r="S391" s="252">
        <v>9000</v>
      </c>
      <c r="T391" s="252">
        <v>8000</v>
      </c>
      <c r="U391" s="252">
        <v>9000</v>
      </c>
      <c r="V391" s="252">
        <v>9000</v>
      </c>
      <c r="W391" s="186"/>
      <c r="X391" s="240"/>
      <c r="Y391" s="240"/>
      <c r="Z391" s="240"/>
      <c r="AA391" s="240"/>
      <c r="AB391" s="316"/>
      <c r="AC391" s="316"/>
      <c r="AD391" s="259"/>
      <c r="AE391" s="259"/>
      <c r="AF391" s="259"/>
      <c r="AG391" s="259"/>
      <c r="AH391" s="259"/>
      <c r="AI391" s="259"/>
      <c r="AJ391" s="259"/>
      <c r="AK391" s="259"/>
      <c r="AL391" s="259"/>
      <c r="AM391" s="259"/>
      <c r="AN391" s="259"/>
      <c r="AO391" s="259"/>
    </row>
    <row r="392" spans="1:41" s="120" customFormat="1" ht="12" x14ac:dyDescent="0.25">
      <c r="A392" s="131" t="s">
        <v>95</v>
      </c>
      <c r="B392" s="131"/>
      <c r="C392" s="131"/>
      <c r="D392" s="131"/>
      <c r="E392" s="131"/>
      <c r="F392" s="46"/>
      <c r="G392" s="199"/>
      <c r="H392" s="320"/>
      <c r="I392" s="120" t="str">
        <f t="shared" si="251"/>
        <v>Grozdje-terase primorska</v>
      </c>
      <c r="J392" s="45"/>
      <c r="K392" s="46" t="s">
        <v>75</v>
      </c>
      <c r="L392" s="245"/>
      <c r="M392" s="298"/>
      <c r="N392" s="247"/>
      <c r="O392" s="318">
        <f>O391/O393</f>
        <v>2.25</v>
      </c>
      <c r="P392" s="304"/>
      <c r="Q392" s="318">
        <f t="shared" ref="Q392:V392" si="252">ROUND(Q391/Q393,2)</f>
        <v>3</v>
      </c>
      <c r="R392" s="318">
        <f t="shared" si="252"/>
        <v>2.5</v>
      </c>
      <c r="S392" s="318">
        <f t="shared" si="252"/>
        <v>2.25</v>
      </c>
      <c r="T392" s="318">
        <f t="shared" si="252"/>
        <v>2</v>
      </c>
      <c r="U392" s="318">
        <f t="shared" si="252"/>
        <v>2</v>
      </c>
      <c r="V392" s="318">
        <f t="shared" si="252"/>
        <v>2.57</v>
      </c>
      <c r="W392" s="186"/>
      <c r="X392" s="186"/>
      <c r="Y392" s="186"/>
      <c r="Z392" s="186"/>
      <c r="AA392" s="186"/>
      <c r="AB392" s="203"/>
      <c r="AC392" s="203"/>
      <c r="AD392" s="259"/>
      <c r="AE392" s="259"/>
      <c r="AF392" s="259"/>
      <c r="AG392" s="259"/>
      <c r="AH392" s="259"/>
      <c r="AI392" s="259"/>
      <c r="AJ392" s="259"/>
      <c r="AK392" s="259"/>
      <c r="AL392" s="259"/>
      <c r="AM392" s="259"/>
      <c r="AN392" s="259"/>
      <c r="AO392" s="259"/>
    </row>
    <row r="393" spans="1:41" s="120" customFormat="1" ht="12" x14ac:dyDescent="0.25">
      <c r="A393" s="131" t="s">
        <v>199</v>
      </c>
      <c r="B393" s="131"/>
      <c r="C393" s="131"/>
      <c r="D393" s="131"/>
      <c r="E393" s="131"/>
      <c r="F393" s="46"/>
      <c r="G393" s="199"/>
      <c r="H393" s="320"/>
      <c r="I393" s="120" t="str">
        <f t="shared" si="251"/>
        <v>Grozdje-terase primorska</v>
      </c>
      <c r="J393" s="45" t="s">
        <v>74</v>
      </c>
      <c r="K393" s="46" t="s">
        <v>73</v>
      </c>
      <c r="L393" s="186"/>
      <c r="M393" s="243">
        <v>4000</v>
      </c>
      <c r="N393" s="237"/>
      <c r="O393" s="252">
        <v>4000</v>
      </c>
      <c r="P393" s="124"/>
      <c r="Q393" s="252">
        <v>4000</v>
      </c>
      <c r="R393" s="252">
        <v>4000</v>
      </c>
      <c r="S393" s="252">
        <v>4000</v>
      </c>
      <c r="T393" s="252">
        <v>4000</v>
      </c>
      <c r="U393" s="252">
        <v>4500</v>
      </c>
      <c r="V393" s="252">
        <v>3500</v>
      </c>
      <c r="W393" s="186"/>
      <c r="X393" s="240"/>
      <c r="Y393" s="240"/>
      <c r="Z393" s="240"/>
      <c r="AA393" s="240"/>
      <c r="AB393" s="203"/>
      <c r="AC393" s="203"/>
      <c r="AD393" s="259"/>
      <c r="AE393" s="259"/>
      <c r="AF393" s="259"/>
      <c r="AG393" s="259"/>
      <c r="AH393" s="259"/>
      <c r="AI393" s="259"/>
      <c r="AJ393" s="259"/>
      <c r="AK393" s="259"/>
      <c r="AL393" s="259"/>
      <c r="AM393" s="259"/>
      <c r="AN393" s="259"/>
      <c r="AO393" s="259"/>
    </row>
    <row r="394" spans="1:41" s="120" customFormat="1" ht="12" x14ac:dyDescent="0.25">
      <c r="A394" s="196" t="s">
        <v>27</v>
      </c>
      <c r="B394" s="131"/>
      <c r="C394" s="131"/>
      <c r="D394" s="131"/>
      <c r="E394" s="131"/>
      <c r="F394" s="46"/>
      <c r="G394" s="199"/>
      <c r="H394" s="320"/>
      <c r="I394" s="120" t="str">
        <f t="shared" si="251"/>
        <v>Grozdje-terase primorska</v>
      </c>
      <c r="J394" s="45" t="str">
        <f>+J$61</f>
        <v>Kupljen material in storitve</v>
      </c>
      <c r="K394" s="46"/>
      <c r="L394" s="46"/>
      <c r="M394" s="229"/>
      <c r="N394" s="46"/>
      <c r="O394" s="252">
        <v>3861.7241532507137</v>
      </c>
      <c r="P394" s="124"/>
      <c r="Q394" s="252">
        <v>4188.1478974742331</v>
      </c>
      <c r="R394" s="252">
        <v>3984.9680195942215</v>
      </c>
      <c r="S394" s="252">
        <v>3861.7241532507137</v>
      </c>
      <c r="T394" s="252">
        <v>3728.3069509258657</v>
      </c>
      <c r="U394" s="252">
        <v>3924.5563040768802</v>
      </c>
      <c r="V394" s="252">
        <v>3798.8920024245481</v>
      </c>
      <c r="W394" s="245"/>
      <c r="X394" s="240"/>
      <c r="Y394" s="240"/>
      <c r="Z394" s="240"/>
      <c r="AA394" s="240"/>
      <c r="AB394" s="203"/>
      <c r="AC394" s="203"/>
      <c r="AD394" s="259"/>
      <c r="AE394" s="259"/>
      <c r="AF394" s="259"/>
      <c r="AG394" s="259"/>
      <c r="AH394" s="259"/>
      <c r="AI394" s="259"/>
      <c r="AJ394" s="259"/>
      <c r="AK394" s="259"/>
      <c r="AL394" s="259"/>
      <c r="AM394" s="259"/>
      <c r="AN394" s="259"/>
      <c r="AO394" s="259"/>
    </row>
    <row r="395" spans="1:41" s="120" customFormat="1" ht="12" x14ac:dyDescent="0.25">
      <c r="A395" s="131" t="s">
        <v>6</v>
      </c>
      <c r="B395" s="131"/>
      <c r="C395" s="131"/>
      <c r="D395" s="131"/>
      <c r="E395" s="131"/>
      <c r="F395" s="46"/>
      <c r="G395" s="199"/>
      <c r="H395" s="320"/>
      <c r="I395" s="120" t="str">
        <f t="shared" si="251"/>
        <v>Grozdje-terase primorska</v>
      </c>
      <c r="J395" s="45" t="str">
        <f>+J$62</f>
        <v>Stroški skupaj</v>
      </c>
      <c r="K395" s="46" t="str">
        <f>+K$62</f>
        <v>EUR/ha</v>
      </c>
      <c r="L395" s="125"/>
      <c r="M395" s="307"/>
      <c r="N395" s="124"/>
      <c r="O395" s="252">
        <v>9850.3880482012682</v>
      </c>
      <c r="P395" s="124"/>
      <c r="Q395" s="252">
        <v>10384.626940292752</v>
      </c>
      <c r="R395" s="252">
        <v>10044.671001869196</v>
      </c>
      <c r="S395" s="252">
        <v>9850.3880482012682</v>
      </c>
      <c r="T395" s="252">
        <v>9647.9448586391136</v>
      </c>
      <c r="U395" s="252">
        <v>10235.738377825213</v>
      </c>
      <c r="V395" s="252">
        <v>9465.0377185773214</v>
      </c>
      <c r="W395" s="249"/>
      <c r="X395" s="240"/>
      <c r="Y395" s="240"/>
      <c r="Z395" s="240"/>
      <c r="AA395" s="240"/>
      <c r="AB395" s="316"/>
      <c r="AC395" s="316"/>
      <c r="AD395" s="259"/>
      <c r="AE395" s="259"/>
      <c r="AF395" s="259"/>
      <c r="AG395" s="259"/>
      <c r="AH395" s="259"/>
      <c r="AI395" s="259"/>
      <c r="AJ395" s="259"/>
      <c r="AK395" s="259"/>
      <c r="AL395" s="259"/>
      <c r="AM395" s="259"/>
      <c r="AN395" s="259"/>
      <c r="AO395" s="259"/>
    </row>
    <row r="396" spans="1:41" s="120" customFormat="1" ht="12" x14ac:dyDescent="0.25">
      <c r="A396" s="131" t="s">
        <v>5</v>
      </c>
      <c r="B396" s="131"/>
      <c r="C396" s="131"/>
      <c r="D396" s="131"/>
      <c r="E396" s="131"/>
      <c r="F396" s="46"/>
      <c r="G396" s="199"/>
      <c r="H396" s="320"/>
      <c r="I396" s="120" t="str">
        <f t="shared" si="251"/>
        <v>Grozdje-terase primorska</v>
      </c>
      <c r="J396" s="45" t="str">
        <f>+J$63</f>
        <v>Stranski pridelki</v>
      </c>
      <c r="K396" s="46" t="str">
        <f>+K$63</f>
        <v>EUR/ha</v>
      </c>
      <c r="L396" s="125"/>
      <c r="M396" s="307"/>
      <c r="N396" s="125"/>
      <c r="O396" s="252">
        <v>0</v>
      </c>
      <c r="P396" s="125"/>
      <c r="Q396" s="252">
        <v>0</v>
      </c>
      <c r="R396" s="252">
        <v>0</v>
      </c>
      <c r="S396" s="252">
        <v>0</v>
      </c>
      <c r="T396" s="252">
        <v>0</v>
      </c>
      <c r="U396" s="252">
        <v>0</v>
      </c>
      <c r="V396" s="252">
        <v>0</v>
      </c>
      <c r="W396" s="294"/>
      <c r="X396" s="240"/>
      <c r="Y396" s="240"/>
      <c r="Z396" s="240"/>
      <c r="AA396" s="240"/>
      <c r="AB396" s="203"/>
      <c r="AC396" s="203"/>
      <c r="AD396" s="259"/>
      <c r="AE396" s="259"/>
      <c r="AF396" s="259"/>
      <c r="AG396" s="259"/>
      <c r="AH396" s="259"/>
      <c r="AI396" s="259"/>
      <c r="AJ396" s="259"/>
      <c r="AK396" s="259"/>
      <c r="AL396" s="259"/>
      <c r="AM396" s="259"/>
      <c r="AN396" s="259"/>
      <c r="AO396" s="259"/>
    </row>
    <row r="397" spans="1:41" s="120" customFormat="1" ht="12" x14ac:dyDescent="0.25">
      <c r="A397" s="131"/>
      <c r="B397" s="131"/>
      <c r="C397" s="131"/>
      <c r="D397" s="131"/>
      <c r="E397" s="131"/>
      <c r="F397" s="46"/>
      <c r="G397" s="199"/>
      <c r="H397" s="320"/>
      <c r="I397" s="120" t="str">
        <f t="shared" si="251"/>
        <v>Grozdje-terase primorska</v>
      </c>
      <c r="J397" s="45" t="str">
        <f>+J$64</f>
        <v>Stroški glavnega pridelka</v>
      </c>
      <c r="K397" s="46" t="str">
        <f>+K$64</f>
        <v>EUR/ha</v>
      </c>
      <c r="L397" s="308"/>
      <c r="M397" s="307"/>
      <c r="N397" s="308"/>
      <c r="O397" s="262">
        <f>+O395-O396</f>
        <v>9850.3880482012682</v>
      </c>
      <c r="P397" s="125"/>
      <c r="Q397" s="262">
        <f t="shared" ref="Q397:V397" si="253">+Q395-Q396</f>
        <v>10384.626940292752</v>
      </c>
      <c r="R397" s="262">
        <f t="shared" si="253"/>
        <v>10044.671001869196</v>
      </c>
      <c r="S397" s="262">
        <f t="shared" si="253"/>
        <v>9850.3880482012682</v>
      </c>
      <c r="T397" s="262">
        <f t="shared" si="253"/>
        <v>9647.9448586391136</v>
      </c>
      <c r="U397" s="262">
        <f t="shared" si="253"/>
        <v>10235.738377825213</v>
      </c>
      <c r="V397" s="262">
        <f t="shared" si="253"/>
        <v>9465.0377185773214</v>
      </c>
      <c r="W397" s="114"/>
      <c r="X397" s="240"/>
      <c r="Y397" s="240"/>
      <c r="Z397" s="240"/>
      <c r="AA397" s="240"/>
      <c r="AB397" s="203"/>
      <c r="AC397" s="203"/>
      <c r="AD397" s="259"/>
      <c r="AE397" s="259"/>
      <c r="AF397" s="259"/>
      <c r="AG397" s="259"/>
      <c r="AH397" s="259"/>
      <c r="AI397" s="259"/>
      <c r="AJ397" s="259"/>
      <c r="AK397" s="259"/>
      <c r="AL397" s="259"/>
      <c r="AM397" s="259"/>
      <c r="AN397" s="259"/>
      <c r="AO397" s="259"/>
    </row>
    <row r="398" spans="1:41" s="120" customFormat="1" ht="12" x14ac:dyDescent="0.25">
      <c r="A398" s="131" t="s">
        <v>4</v>
      </c>
      <c r="B398" s="131" t="s">
        <v>0</v>
      </c>
      <c r="C398" s="131" t="s">
        <v>2</v>
      </c>
      <c r="D398" s="131" t="s">
        <v>1</v>
      </c>
      <c r="E398" s="131" t="s">
        <v>0</v>
      </c>
      <c r="F398" s="46"/>
      <c r="G398" s="199"/>
      <c r="H398" s="320"/>
      <c r="I398" s="120" t="str">
        <f t="shared" si="251"/>
        <v>Grozdje-terase primorska</v>
      </c>
      <c r="J398" s="45" t="str">
        <f>+J$65</f>
        <v>Subvencije</v>
      </c>
      <c r="K398" s="46" t="str">
        <f>+K$65</f>
        <v>EUR/ha</v>
      </c>
      <c r="L398" s="125"/>
      <c r="M398" s="307"/>
      <c r="N398" s="125"/>
      <c r="O398" s="252">
        <v>23.94</v>
      </c>
      <c r="P398" s="125"/>
      <c r="Q398" s="252">
        <v>23.94</v>
      </c>
      <c r="R398" s="252">
        <v>23.94</v>
      </c>
      <c r="S398" s="252">
        <v>23.94</v>
      </c>
      <c r="T398" s="252">
        <v>23.94</v>
      </c>
      <c r="U398" s="252">
        <v>23.94</v>
      </c>
      <c r="V398" s="252">
        <v>23.94</v>
      </c>
      <c r="W398" s="114"/>
      <c r="X398" s="240"/>
      <c r="Y398" s="240"/>
      <c r="Z398" s="240"/>
      <c r="AA398" s="240"/>
      <c r="AB398" s="203"/>
      <c r="AC398" s="203"/>
      <c r="AD398" s="259"/>
      <c r="AE398" s="259"/>
      <c r="AF398" s="259"/>
      <c r="AG398" s="259"/>
      <c r="AH398" s="259"/>
      <c r="AI398" s="259"/>
      <c r="AJ398" s="259"/>
      <c r="AK398" s="259"/>
      <c r="AL398" s="259"/>
      <c r="AM398" s="259"/>
      <c r="AN398" s="259"/>
      <c r="AO398" s="259"/>
    </row>
    <row r="399" spans="1:41" s="120" customFormat="1" ht="12" x14ac:dyDescent="0.25">
      <c r="A399" s="131"/>
      <c r="B399" s="131"/>
      <c r="C399" s="131" t="s">
        <v>13</v>
      </c>
      <c r="D399" s="131"/>
      <c r="E399" s="131"/>
      <c r="F399" s="46"/>
      <c r="G399" s="199"/>
      <c r="H399" s="320"/>
      <c r="I399" s="120" t="str">
        <f t="shared" si="251"/>
        <v>Grozdje-terase primorska</v>
      </c>
      <c r="J399" s="45" t="str">
        <f>+J$66</f>
        <v>Stroški, zmanjšani za subvencije</v>
      </c>
      <c r="K399" s="46" t="str">
        <f>+K$66</f>
        <v>EUR/ha</v>
      </c>
      <c r="L399" s="308"/>
      <c r="M399" s="307"/>
      <c r="N399" s="308"/>
      <c r="O399" s="264">
        <f>+O397-O398</f>
        <v>9826.4480482012677</v>
      </c>
      <c r="P399" s="125"/>
      <c r="Q399" s="264">
        <f t="shared" ref="Q399:V399" si="254">+Q397-Q398</f>
        <v>10360.686940292751</v>
      </c>
      <c r="R399" s="264">
        <f t="shared" si="254"/>
        <v>10020.731001869195</v>
      </c>
      <c r="S399" s="264">
        <f t="shared" si="254"/>
        <v>9826.4480482012677</v>
      </c>
      <c r="T399" s="264">
        <f t="shared" si="254"/>
        <v>9624.0048586391131</v>
      </c>
      <c r="U399" s="264">
        <f t="shared" si="254"/>
        <v>10211.798377825213</v>
      </c>
      <c r="V399" s="264">
        <f t="shared" si="254"/>
        <v>9441.0977185773208</v>
      </c>
      <c r="W399" s="114"/>
      <c r="X399" s="240"/>
      <c r="Y399" s="240"/>
      <c r="Z399" s="240"/>
      <c r="AA399" s="240"/>
      <c r="AB399" s="203"/>
      <c r="AC399" s="203"/>
      <c r="AD399" s="259"/>
      <c r="AE399" s="259"/>
      <c r="AF399" s="259"/>
      <c r="AG399" s="259"/>
      <c r="AH399" s="259"/>
      <c r="AI399" s="259"/>
      <c r="AJ399" s="259"/>
      <c r="AK399" s="259"/>
      <c r="AL399" s="259"/>
      <c r="AM399" s="259"/>
      <c r="AN399" s="259"/>
      <c r="AO399" s="259"/>
    </row>
    <row r="400" spans="1:41" s="120" customFormat="1" ht="12" x14ac:dyDescent="0.25">
      <c r="A400" s="131"/>
      <c r="B400" s="131"/>
      <c r="C400" s="131"/>
      <c r="D400" s="131"/>
      <c r="E400" s="131"/>
      <c r="F400" s="46"/>
      <c r="G400" s="199"/>
      <c r="H400" s="320"/>
      <c r="I400" s="120" t="str">
        <f t="shared" si="251"/>
        <v>Grozdje-terase primorska</v>
      </c>
      <c r="J400" s="45" t="str">
        <f>+J$67</f>
        <v>Stroški, zmanjšani za subvencije/kg</v>
      </c>
      <c r="K400" s="46" t="str">
        <f>+K$67</f>
        <v>EUR/kg</v>
      </c>
      <c r="L400" s="309"/>
      <c r="M400" s="310"/>
      <c r="N400" s="308"/>
      <c r="O400" s="270">
        <f>+O399/O391</f>
        <v>1.091827560911252</v>
      </c>
      <c r="P400" s="311"/>
      <c r="Q400" s="270">
        <f t="shared" ref="Q400:V400" si="255">+Q399/Q391</f>
        <v>0.86339057835772925</v>
      </c>
      <c r="R400" s="270">
        <f t="shared" si="255"/>
        <v>1.0020731001869194</v>
      </c>
      <c r="S400" s="270">
        <f t="shared" si="255"/>
        <v>1.091827560911252</v>
      </c>
      <c r="T400" s="270">
        <f t="shared" si="255"/>
        <v>1.2030006073298891</v>
      </c>
      <c r="U400" s="270">
        <f t="shared" si="255"/>
        <v>1.1346442642028014</v>
      </c>
      <c r="V400" s="270">
        <f t="shared" si="255"/>
        <v>1.0490108576197024</v>
      </c>
      <c r="W400" s="114"/>
      <c r="X400" s="240"/>
      <c r="Y400" s="240"/>
      <c r="Z400" s="240"/>
      <c r="AA400" s="240"/>
      <c r="AB400" s="203"/>
      <c r="AC400" s="203"/>
      <c r="AD400" s="259"/>
      <c r="AE400" s="259"/>
      <c r="AF400" s="259"/>
      <c r="AG400" s="259"/>
      <c r="AH400" s="259"/>
      <c r="AI400" s="259"/>
      <c r="AJ400" s="259"/>
      <c r="AK400" s="259"/>
      <c r="AL400" s="259"/>
      <c r="AM400" s="259"/>
      <c r="AN400" s="259"/>
      <c r="AO400" s="259"/>
    </row>
    <row r="401" spans="1:42" s="120" customFormat="1" ht="12" x14ac:dyDescent="0.25">
      <c r="A401" s="131" t="s">
        <v>169</v>
      </c>
      <c r="B401" s="131"/>
      <c r="C401" s="131"/>
      <c r="D401" s="131"/>
      <c r="E401" s="131"/>
      <c r="F401" s="46"/>
      <c r="G401" s="199"/>
      <c r="H401" s="320"/>
      <c r="I401" s="120" t="str">
        <f t="shared" si="251"/>
        <v>Grozdje-terase primorska</v>
      </c>
      <c r="J401" s="45" t="str">
        <f t="shared" ref="J401" si="256">+J364</f>
        <v>davek_a</v>
      </c>
      <c r="K401" s="46"/>
      <c r="L401" s="125"/>
      <c r="M401" s="307"/>
      <c r="N401" s="125"/>
      <c r="O401" s="117">
        <v>0</v>
      </c>
      <c r="P401" s="125"/>
      <c r="Q401" s="117">
        <v>0</v>
      </c>
      <c r="R401" s="117">
        <v>0</v>
      </c>
      <c r="S401" s="117">
        <v>0</v>
      </c>
      <c r="T401" s="117">
        <v>0</v>
      </c>
      <c r="U401" s="117">
        <v>0</v>
      </c>
      <c r="V401" s="117">
        <v>0</v>
      </c>
      <c r="W401" s="315"/>
      <c r="X401" s="240"/>
      <c r="Y401" s="240"/>
      <c r="Z401" s="240"/>
      <c r="AA401" s="240"/>
      <c r="AB401" s="203"/>
      <c r="AC401" s="203"/>
      <c r="AD401" s="259"/>
      <c r="AE401" s="259"/>
      <c r="AF401" s="259"/>
      <c r="AG401" s="259"/>
      <c r="AH401" s="259"/>
      <c r="AI401" s="259"/>
      <c r="AJ401" s="259"/>
      <c r="AK401" s="259"/>
      <c r="AL401" s="259"/>
      <c r="AM401" s="259"/>
      <c r="AN401" s="259"/>
      <c r="AO401" s="259"/>
    </row>
    <row r="402" spans="1:42" s="120" customFormat="1" ht="12" x14ac:dyDescent="0.25">
      <c r="A402" s="46" t="s">
        <v>113</v>
      </c>
      <c r="B402" s="131"/>
      <c r="C402" s="131"/>
      <c r="D402" s="131"/>
      <c r="E402" s="131"/>
      <c r="F402" s="46"/>
      <c r="G402" s="199"/>
      <c r="H402" s="320"/>
      <c r="I402" s="120" t="str">
        <f t="shared" si="251"/>
        <v>Grozdje-terase primorska</v>
      </c>
      <c r="J402" s="45" t="str">
        <f t="shared" ref="J402:J407" si="257">+A402</f>
        <v>Pokoj obvezno</v>
      </c>
      <c r="K402" s="46"/>
      <c r="L402" s="125"/>
      <c r="M402" s="307"/>
      <c r="N402" s="125"/>
      <c r="O402" s="117">
        <v>270.00648376384294</v>
      </c>
      <c r="P402" s="125"/>
      <c r="Q402" s="117">
        <v>283.98779314224333</v>
      </c>
      <c r="R402" s="117">
        <v>274.76652018469883</v>
      </c>
      <c r="S402" s="117">
        <v>270.00648376384294</v>
      </c>
      <c r="T402" s="117">
        <v>265.37140259044543</v>
      </c>
      <c r="U402" s="117">
        <v>289.7917131564592</v>
      </c>
      <c r="V402" s="117">
        <v>250.22125437122665</v>
      </c>
      <c r="W402" s="114"/>
      <c r="X402" s="240"/>
      <c r="Y402" s="240"/>
      <c r="Z402" s="240"/>
      <c r="AA402" s="240"/>
      <c r="AB402" s="203"/>
      <c r="AC402" s="203"/>
      <c r="AD402" s="259"/>
      <c r="AE402" s="259"/>
      <c r="AF402" s="259"/>
      <c r="AG402" s="259"/>
      <c r="AH402" s="259"/>
      <c r="AI402" s="259"/>
      <c r="AJ402" s="259"/>
      <c r="AK402" s="259"/>
      <c r="AL402" s="259"/>
      <c r="AM402" s="259"/>
      <c r="AN402" s="259"/>
      <c r="AO402" s="259"/>
    </row>
    <row r="403" spans="1:42" s="120" customFormat="1" ht="12" x14ac:dyDescent="0.25">
      <c r="A403" s="46" t="s">
        <v>112</v>
      </c>
      <c r="B403" s="131"/>
      <c r="C403" s="131"/>
      <c r="D403" s="131"/>
      <c r="E403" s="131"/>
      <c r="F403" s="46"/>
      <c r="G403" s="199"/>
      <c r="H403" s="320"/>
      <c r="I403" s="120" t="str">
        <f t="shared" si="251"/>
        <v>Grozdje-terase primorska</v>
      </c>
      <c r="J403" s="45" t="str">
        <f t="shared" si="257"/>
        <v>Zdrav obvezno</v>
      </c>
      <c r="K403" s="46"/>
      <c r="L403" s="124"/>
      <c r="M403" s="312"/>
      <c r="N403" s="124"/>
      <c r="O403" s="117">
        <v>123.50619160552554</v>
      </c>
      <c r="P403" s="124"/>
      <c r="Q403" s="117">
        <v>129.90151312119389</v>
      </c>
      <c r="R403" s="117">
        <v>125.68352439416218</v>
      </c>
      <c r="S403" s="117">
        <v>123.50619160552554</v>
      </c>
      <c r="T403" s="117">
        <v>121.38601576556498</v>
      </c>
      <c r="U403" s="117">
        <v>132.55633846963195</v>
      </c>
      <c r="V403" s="117">
        <v>114.45604474141913</v>
      </c>
      <c r="W403" s="114"/>
      <c r="X403" s="240"/>
      <c r="Y403" s="240"/>
      <c r="Z403" s="240"/>
      <c r="AA403" s="240"/>
      <c r="AB403" s="316"/>
      <c r="AC403" s="316"/>
      <c r="AD403" s="259"/>
      <c r="AE403" s="259"/>
      <c r="AF403" s="259"/>
      <c r="AG403" s="259"/>
      <c r="AH403" s="259"/>
      <c r="AI403" s="259"/>
      <c r="AJ403" s="259"/>
      <c r="AK403" s="259"/>
      <c r="AL403" s="259"/>
      <c r="AM403" s="259"/>
      <c r="AN403" s="259"/>
      <c r="AO403" s="259"/>
    </row>
    <row r="404" spans="1:42" s="120" customFormat="1" ht="12" x14ac:dyDescent="0.25">
      <c r="A404" s="46" t="s">
        <v>111</v>
      </c>
      <c r="B404" s="131"/>
      <c r="C404" s="131"/>
      <c r="D404" s="131"/>
      <c r="E404" s="131"/>
      <c r="F404" s="46"/>
      <c r="G404" s="199"/>
      <c r="H404" s="320"/>
      <c r="I404" s="120" t="str">
        <f t="shared" si="251"/>
        <v>Grozdje-terase primorska</v>
      </c>
      <c r="J404" s="45" t="str">
        <f t="shared" si="257"/>
        <v>Pokoj dodatno</v>
      </c>
      <c r="K404" s="46"/>
      <c r="L404" s="125"/>
      <c r="M404" s="307"/>
      <c r="N404" s="125"/>
      <c r="O404" s="117">
        <v>228.15918841039576</v>
      </c>
      <c r="P404" s="125"/>
      <c r="Q404" s="117">
        <v>239.97358692491648</v>
      </c>
      <c r="R404" s="117">
        <v>232.1814845843509</v>
      </c>
      <c r="S404" s="117">
        <v>228.15918841039576</v>
      </c>
      <c r="T404" s="117">
        <v>224.24248113730806</v>
      </c>
      <c r="U404" s="117">
        <v>244.87797907721958</v>
      </c>
      <c r="V404" s="117">
        <v>211.44039774357205</v>
      </c>
      <c r="W404" s="294"/>
      <c r="X404" s="240"/>
      <c r="Y404" s="240"/>
      <c r="Z404" s="240"/>
      <c r="AA404" s="240"/>
      <c r="AB404" s="203"/>
      <c r="AC404" s="203"/>
      <c r="AD404" s="259"/>
      <c r="AE404" s="259"/>
      <c r="AF404" s="259"/>
      <c r="AG404" s="259"/>
      <c r="AH404" s="259"/>
      <c r="AI404" s="259"/>
      <c r="AJ404" s="259"/>
      <c r="AK404" s="259"/>
      <c r="AL404" s="259"/>
      <c r="AM404" s="259"/>
      <c r="AN404" s="259"/>
      <c r="AO404" s="259"/>
    </row>
    <row r="405" spans="1:42" s="120" customFormat="1" ht="12" x14ac:dyDescent="0.25">
      <c r="A405" s="46" t="s">
        <v>110</v>
      </c>
      <c r="B405" s="131"/>
      <c r="C405" s="131"/>
      <c r="D405" s="131"/>
      <c r="E405" s="131"/>
      <c r="F405" s="46"/>
      <c r="G405" s="199"/>
      <c r="H405" s="320"/>
      <c r="I405" s="120" t="str">
        <f t="shared" si="251"/>
        <v>Grozdje-terase primorska</v>
      </c>
      <c r="J405" s="45" t="str">
        <f t="shared" si="257"/>
        <v>Zdrav dodatno</v>
      </c>
      <c r="K405" s="46"/>
      <c r="L405" s="124"/>
      <c r="M405" s="312"/>
      <c r="N405" s="124"/>
      <c r="O405" s="117">
        <v>104.36442876320682</v>
      </c>
      <c r="P405" s="124"/>
      <c r="Q405" s="117">
        <v>109.76856330952629</v>
      </c>
      <c r="R405" s="117">
        <v>106.2043048840676</v>
      </c>
      <c r="S405" s="117">
        <v>104.36442876320682</v>
      </c>
      <c r="T405" s="117">
        <v>102.57285104925894</v>
      </c>
      <c r="U405" s="117">
        <v>112.01192720370877</v>
      </c>
      <c r="V405" s="117">
        <v>96.716930322704854</v>
      </c>
      <c r="W405" s="114"/>
      <c r="X405" s="240"/>
      <c r="Y405" s="240"/>
      <c r="Z405" s="240"/>
      <c r="AA405" s="240"/>
      <c r="AB405" s="316"/>
      <c r="AC405" s="316"/>
      <c r="AD405" s="259"/>
      <c r="AE405" s="259"/>
      <c r="AF405" s="259"/>
      <c r="AG405" s="259"/>
      <c r="AH405" s="259"/>
      <c r="AI405" s="259"/>
      <c r="AJ405" s="259"/>
      <c r="AK405" s="259"/>
      <c r="AL405" s="259"/>
      <c r="AM405" s="259"/>
      <c r="AN405" s="259"/>
      <c r="AO405" s="259"/>
    </row>
    <row r="406" spans="1:42" s="120" customFormat="1" ht="12" x14ac:dyDescent="0.25">
      <c r="A406" s="46" t="s">
        <v>109</v>
      </c>
      <c r="B406" s="131"/>
      <c r="C406" s="131"/>
      <c r="D406" s="131"/>
      <c r="E406" s="131"/>
      <c r="F406" s="46"/>
      <c r="G406" s="199"/>
      <c r="H406" s="320"/>
      <c r="I406" s="120" t="str">
        <f t="shared" si="251"/>
        <v>Grozdje-terase primorska</v>
      </c>
      <c r="J406" s="45" t="str">
        <f t="shared" si="257"/>
        <v>Regresi</v>
      </c>
      <c r="K406" s="46"/>
      <c r="L406" s="125"/>
      <c r="M406" s="307"/>
      <c r="N406" s="125"/>
      <c r="O406" s="117">
        <v>684.53230824480136</v>
      </c>
      <c r="P406" s="125"/>
      <c r="Q406" s="117">
        <v>719.97833845736477</v>
      </c>
      <c r="R406" s="117">
        <v>696.6001618499306</v>
      </c>
      <c r="S406" s="117">
        <v>684.53230824480136</v>
      </c>
      <c r="T406" s="117">
        <v>672.78124667658017</v>
      </c>
      <c r="U406" s="117">
        <v>734.69269164183947</v>
      </c>
      <c r="V406" s="117">
        <v>634.37192484776324</v>
      </c>
      <c r="W406" s="294"/>
      <c r="X406" s="240"/>
      <c r="Y406" s="240"/>
      <c r="Z406" s="240"/>
      <c r="AA406" s="240"/>
      <c r="AB406" s="203"/>
      <c r="AC406" s="203"/>
      <c r="AD406" s="259"/>
      <c r="AE406" s="259"/>
      <c r="AF406" s="259"/>
      <c r="AG406" s="259"/>
      <c r="AH406" s="259"/>
      <c r="AI406" s="259"/>
      <c r="AJ406" s="259"/>
      <c r="AK406" s="259"/>
      <c r="AL406" s="259"/>
      <c r="AM406" s="259"/>
      <c r="AN406" s="259"/>
      <c r="AO406" s="259"/>
    </row>
    <row r="407" spans="1:42" s="120" customFormat="1" ht="12" x14ac:dyDescent="0.25">
      <c r="A407" s="131" t="s">
        <v>28</v>
      </c>
      <c r="B407" s="131"/>
      <c r="C407" s="131"/>
      <c r="D407" s="131"/>
      <c r="E407" s="131"/>
      <c r="F407" s="46"/>
      <c r="G407" s="199"/>
      <c r="H407" s="320"/>
      <c r="I407" s="120" t="str">
        <f t="shared" si="251"/>
        <v>Grozdje-terase primorska</v>
      </c>
      <c r="J407" s="45" t="str">
        <f t="shared" si="257"/>
        <v>SUM element</v>
      </c>
      <c r="K407" s="46"/>
      <c r="L407" s="146"/>
      <c r="M407" s="260"/>
      <c r="N407" s="146"/>
      <c r="O407" s="252">
        <v>9850.3880482012682</v>
      </c>
      <c r="P407" s="252"/>
      <c r="Q407" s="252">
        <v>10384.62694029275</v>
      </c>
      <c r="R407" s="252">
        <v>10044.671001869197</v>
      </c>
      <c r="S407" s="252">
        <v>9850.3880482012682</v>
      </c>
      <c r="T407" s="252">
        <v>9647.9448586391154</v>
      </c>
      <c r="U407" s="252">
        <v>10235.738377825212</v>
      </c>
      <c r="V407" s="252">
        <v>9465.0377185773214</v>
      </c>
      <c r="W407" s="294"/>
      <c r="X407" s="240"/>
      <c r="Y407" s="240"/>
      <c r="Z407" s="240"/>
      <c r="AA407" s="240"/>
      <c r="AB407" s="203"/>
      <c r="AC407" s="203"/>
      <c r="AD407" s="259"/>
      <c r="AE407" s="259"/>
      <c r="AF407" s="259"/>
      <c r="AG407" s="259"/>
      <c r="AH407" s="259"/>
      <c r="AI407" s="259"/>
      <c r="AJ407" s="259"/>
      <c r="AK407" s="259"/>
      <c r="AL407" s="259"/>
      <c r="AM407" s="259"/>
      <c r="AN407" s="259"/>
      <c r="AO407" s="259"/>
    </row>
    <row r="408" spans="1:42" s="120" customFormat="1" ht="12" x14ac:dyDescent="0.25">
      <c r="A408" s="131" t="s">
        <v>4</v>
      </c>
      <c r="B408" s="131" t="s">
        <v>0</v>
      </c>
      <c r="C408" s="131" t="s">
        <v>2</v>
      </c>
      <c r="D408" s="131" t="s">
        <v>1</v>
      </c>
      <c r="E408" s="131" t="s">
        <v>0</v>
      </c>
      <c r="F408" s="46"/>
      <c r="G408" s="199"/>
      <c r="H408" s="320"/>
      <c r="I408" s="120" t="str">
        <f t="shared" si="251"/>
        <v>Grozdje-terase primorska</v>
      </c>
      <c r="J408" s="190" t="str">
        <f t="shared" ref="J408" si="258">+J371</f>
        <v>Subvencije</v>
      </c>
      <c r="K408" s="46"/>
      <c r="L408" s="146"/>
      <c r="M408" s="260"/>
      <c r="N408" s="146"/>
      <c r="O408" s="276">
        <v>23.94</v>
      </c>
      <c r="P408" s="276"/>
      <c r="Q408" s="276">
        <v>23.94</v>
      </c>
      <c r="R408" s="276">
        <v>23.94</v>
      </c>
      <c r="S408" s="276">
        <v>23.94</v>
      </c>
      <c r="T408" s="276">
        <v>23.94</v>
      </c>
      <c r="U408" s="276">
        <v>23.94</v>
      </c>
      <c r="V408" s="276">
        <v>23.94</v>
      </c>
      <c r="W408" s="294"/>
      <c r="X408" s="240"/>
      <c r="Y408" s="240"/>
      <c r="Z408" s="240"/>
      <c r="AA408" s="240"/>
      <c r="AB408" s="203"/>
      <c r="AC408" s="203"/>
      <c r="AD408" s="259"/>
      <c r="AE408" s="259"/>
      <c r="AF408" s="259"/>
      <c r="AG408" s="259"/>
      <c r="AH408" s="259"/>
      <c r="AI408" s="259"/>
      <c r="AJ408" s="259"/>
      <c r="AK408" s="259"/>
      <c r="AL408" s="259"/>
      <c r="AM408" s="259"/>
      <c r="AN408" s="259"/>
      <c r="AO408" s="259"/>
    </row>
    <row r="409" spans="1:42" s="120" customFormat="1" ht="39" customHeight="1" x14ac:dyDescent="0.25">
      <c r="A409" s="196" t="s">
        <v>29</v>
      </c>
      <c r="B409" s="131"/>
      <c r="C409" s="131"/>
      <c r="D409" s="131"/>
      <c r="E409" s="131"/>
      <c r="F409" s="46"/>
      <c r="G409" s="199"/>
      <c r="H409" s="320"/>
      <c r="I409" s="120" t="str">
        <f t="shared" si="251"/>
        <v>Grozdje-terase primorska</v>
      </c>
      <c r="J409" s="291" t="str">
        <f>+J372</f>
        <v>Vrednost pridelave_tržna</v>
      </c>
      <c r="K409" s="46"/>
      <c r="L409" s="146"/>
      <c r="M409" s="260"/>
      <c r="N409" s="146"/>
      <c r="O409" s="276">
        <v>7380</v>
      </c>
      <c r="P409" s="276"/>
      <c r="Q409" s="276">
        <v>9840</v>
      </c>
      <c r="R409" s="276">
        <v>8200</v>
      </c>
      <c r="S409" s="276">
        <v>7380</v>
      </c>
      <c r="T409" s="276">
        <v>6560</v>
      </c>
      <c r="U409" s="276">
        <v>7380</v>
      </c>
      <c r="V409" s="276">
        <v>7380</v>
      </c>
      <c r="W409" s="294"/>
      <c r="X409" s="240"/>
      <c r="Y409" s="240"/>
      <c r="Z409" s="240"/>
      <c r="AA409" s="240"/>
      <c r="AB409" s="203"/>
      <c r="AC409" s="203"/>
      <c r="AD409" s="259"/>
      <c r="AE409" s="259"/>
      <c r="AF409" s="259"/>
      <c r="AG409" s="259"/>
      <c r="AH409" s="259"/>
      <c r="AI409" s="259"/>
      <c r="AJ409" s="259"/>
      <c r="AK409" s="259"/>
      <c r="AL409" s="259"/>
      <c r="AM409" s="259"/>
      <c r="AN409" s="259"/>
      <c r="AO409" s="259"/>
    </row>
    <row r="410" spans="1:42" s="120" customFormat="1" ht="12" x14ac:dyDescent="0.25">
      <c r="A410" s="131"/>
      <c r="B410" s="131"/>
      <c r="C410" s="131"/>
      <c r="D410" s="131"/>
      <c r="E410" s="131"/>
      <c r="F410" s="46"/>
      <c r="G410" s="133"/>
      <c r="H410" s="323"/>
      <c r="J410" s="72"/>
      <c r="K410" s="128"/>
      <c r="L410" s="278"/>
      <c r="M410" s="279"/>
      <c r="N410" s="272"/>
      <c r="O410" s="280">
        <f>+O395-O408-O396</f>
        <v>9826.4480482012677</v>
      </c>
      <c r="P410" s="146" t="s">
        <v>108</v>
      </c>
      <c r="Q410" s="280">
        <f t="shared" ref="Q410:V410" si="259">+Q395-Q408-Q396</f>
        <v>10360.686940292751</v>
      </c>
      <c r="R410" s="280">
        <f t="shared" si="259"/>
        <v>10020.731001869195</v>
      </c>
      <c r="S410" s="280">
        <f t="shared" si="259"/>
        <v>9826.4480482012677</v>
      </c>
      <c r="T410" s="280">
        <f t="shared" si="259"/>
        <v>9624.0048586391131</v>
      </c>
      <c r="U410" s="280">
        <f t="shared" si="259"/>
        <v>10211.798377825213</v>
      </c>
      <c r="V410" s="280">
        <f t="shared" si="259"/>
        <v>9441.0977185773208</v>
      </c>
      <c r="W410" s="294"/>
      <c r="X410" s="240"/>
      <c r="Y410" s="240"/>
      <c r="Z410" s="240"/>
      <c r="AA410" s="240"/>
      <c r="AB410" s="301"/>
      <c r="AC410" s="301"/>
      <c r="AD410" s="259"/>
      <c r="AE410" s="259"/>
      <c r="AF410" s="259"/>
      <c r="AG410" s="259"/>
      <c r="AH410" s="259"/>
      <c r="AI410" s="259"/>
      <c r="AJ410" s="259"/>
      <c r="AK410" s="259"/>
      <c r="AL410" s="259"/>
      <c r="AM410" s="259"/>
      <c r="AN410" s="259"/>
      <c r="AO410" s="259"/>
      <c r="AP410" s="72"/>
    </row>
    <row r="411" spans="1:42" s="120" customFormat="1" ht="12" x14ac:dyDescent="0.25">
      <c r="A411" s="131"/>
      <c r="B411" s="131"/>
      <c r="C411" s="131"/>
      <c r="D411" s="131"/>
      <c r="E411" s="131"/>
      <c r="F411" s="46"/>
      <c r="G411" s="128"/>
      <c r="H411" s="323"/>
      <c r="J411" s="72"/>
      <c r="K411" s="128"/>
      <c r="L411" s="278"/>
      <c r="M411" s="279"/>
      <c r="N411" s="272"/>
      <c r="O411" s="280">
        <f>O410-O402-O403</f>
        <v>9432.9353728318983</v>
      </c>
      <c r="P411" s="146" t="s">
        <v>107</v>
      </c>
      <c r="Q411" s="280">
        <f t="shared" ref="Q411:V411" si="260">Q410-Q402-Q403</f>
        <v>9946.7976340293135</v>
      </c>
      <c r="R411" s="280">
        <f t="shared" si="260"/>
        <v>9620.2809572903334</v>
      </c>
      <c r="S411" s="280">
        <f t="shared" si="260"/>
        <v>9432.9353728318983</v>
      </c>
      <c r="T411" s="280">
        <f t="shared" si="260"/>
        <v>9237.2474402831031</v>
      </c>
      <c r="U411" s="280">
        <f t="shared" si="260"/>
        <v>9789.4503261991213</v>
      </c>
      <c r="V411" s="280">
        <f t="shared" si="260"/>
        <v>9076.4204194646754</v>
      </c>
      <c r="W411" s="304"/>
      <c r="X411" s="272"/>
      <c r="Y411" s="272"/>
      <c r="Z411" s="272"/>
      <c r="AA411" s="272"/>
      <c r="AB411" s="301"/>
      <c r="AC411" s="301"/>
      <c r="AD411" s="259"/>
      <c r="AE411" s="259"/>
      <c r="AF411" s="259"/>
      <c r="AG411" s="259"/>
      <c r="AH411" s="259"/>
      <c r="AI411" s="259"/>
      <c r="AJ411" s="259"/>
      <c r="AK411" s="259"/>
      <c r="AL411" s="259"/>
      <c r="AM411" s="259"/>
      <c r="AN411" s="259"/>
      <c r="AO411" s="259"/>
      <c r="AP411" s="46"/>
    </row>
    <row r="412" spans="1:42" s="120" customFormat="1" ht="12" x14ac:dyDescent="0.25">
      <c r="A412" s="131"/>
      <c r="B412" s="131"/>
      <c r="C412" s="131"/>
      <c r="D412" s="131"/>
      <c r="E412" s="131"/>
      <c r="F412" s="46"/>
      <c r="G412" s="45"/>
      <c r="H412" s="324"/>
      <c r="J412" s="45"/>
      <c r="K412" s="46"/>
      <c r="L412" s="257"/>
      <c r="M412" s="258"/>
      <c r="N412" s="272"/>
      <c r="O412" s="280">
        <f>O411-O404-O405-O406</f>
        <v>8415.8794474134938</v>
      </c>
      <c r="P412" s="146" t="s">
        <v>106</v>
      </c>
      <c r="Q412" s="280">
        <f t="shared" ref="Q412:V412" si="261">Q411-Q404-Q405-Q406</f>
        <v>8877.0771453375055</v>
      </c>
      <c r="R412" s="280">
        <f t="shared" si="261"/>
        <v>8585.2950059719842</v>
      </c>
      <c r="S412" s="280">
        <f t="shared" si="261"/>
        <v>8415.8794474134938</v>
      </c>
      <c r="T412" s="280">
        <f t="shared" si="261"/>
        <v>8237.6508614199556</v>
      </c>
      <c r="U412" s="280">
        <f t="shared" si="261"/>
        <v>8697.8677282763547</v>
      </c>
      <c r="V412" s="280">
        <f t="shared" si="261"/>
        <v>8133.8911665506348</v>
      </c>
      <c r="W412" s="304"/>
      <c r="X412" s="272"/>
      <c r="Y412" s="272"/>
      <c r="Z412" s="272"/>
      <c r="AA412" s="272"/>
      <c r="AB412" s="316"/>
      <c r="AC412" s="316"/>
      <c r="AD412" s="259"/>
      <c r="AE412" s="259"/>
      <c r="AF412" s="259"/>
      <c r="AG412" s="259"/>
      <c r="AH412" s="259"/>
      <c r="AI412" s="259"/>
      <c r="AJ412" s="259"/>
      <c r="AK412" s="259"/>
      <c r="AL412" s="259"/>
      <c r="AM412" s="259"/>
      <c r="AN412" s="259"/>
      <c r="AO412" s="259"/>
      <c r="AP412" s="46"/>
    </row>
    <row r="413" spans="1:42" s="120" customFormat="1" ht="12" x14ac:dyDescent="0.25">
      <c r="A413" s="131"/>
      <c r="B413" s="131"/>
      <c r="C413" s="131"/>
      <c r="D413" s="131"/>
      <c r="E413" s="131"/>
      <c r="F413" s="46"/>
      <c r="G413" s="46"/>
      <c r="H413" s="116"/>
      <c r="J413" s="46"/>
      <c r="K413" s="46"/>
      <c r="L413" s="146"/>
      <c r="M413" s="260"/>
      <c r="N413" s="146"/>
      <c r="O413" s="282"/>
      <c r="P413" s="277"/>
      <c r="Q413" s="282"/>
      <c r="R413" s="282"/>
      <c r="S413" s="282"/>
      <c r="T413" s="282"/>
      <c r="U413" s="282"/>
      <c r="V413" s="282"/>
      <c r="W413" s="304"/>
      <c r="X413" s="257"/>
      <c r="Y413" s="257"/>
      <c r="Z413" s="257"/>
      <c r="AA413" s="257"/>
      <c r="AB413" s="203"/>
      <c r="AC413" s="203"/>
      <c r="AD413" s="259"/>
      <c r="AE413" s="259"/>
      <c r="AF413" s="259"/>
      <c r="AG413" s="259"/>
      <c r="AH413" s="259"/>
      <c r="AI413" s="259"/>
      <c r="AJ413" s="259"/>
      <c r="AK413" s="259"/>
      <c r="AL413" s="259"/>
      <c r="AM413" s="259"/>
      <c r="AN413" s="259"/>
      <c r="AO413" s="259"/>
      <c r="AP413" s="46"/>
    </row>
    <row r="414" spans="1:42" s="120" customFormat="1" ht="12" x14ac:dyDescent="0.25">
      <c r="A414" s="131"/>
      <c r="B414" s="131"/>
      <c r="C414" s="131"/>
      <c r="D414" s="131"/>
      <c r="E414" s="131"/>
      <c r="F414" s="46"/>
      <c r="G414" s="46"/>
      <c r="H414" s="116"/>
      <c r="J414" s="45"/>
      <c r="K414" s="46"/>
      <c r="L414" s="146"/>
      <c r="M414" s="260"/>
      <c r="N414" s="146"/>
      <c r="O414" s="285" t="str">
        <f>O393&amp;";"&amp;O392</f>
        <v>4000;2,25</v>
      </c>
      <c r="P414" s="305"/>
      <c r="Q414" s="285" t="str">
        <f t="shared" ref="Q414:V414" si="262">Q393&amp;";"&amp;Q392</f>
        <v>4000;3</v>
      </c>
      <c r="R414" s="285" t="str">
        <f t="shared" si="262"/>
        <v>4000;2,5</v>
      </c>
      <c r="S414" s="285" t="str">
        <f t="shared" si="262"/>
        <v>4000;2,25</v>
      </c>
      <c r="T414" s="285" t="str">
        <f t="shared" si="262"/>
        <v>4000;2</v>
      </c>
      <c r="U414" s="285" t="str">
        <f t="shared" si="262"/>
        <v>4500;2</v>
      </c>
      <c r="V414" s="285" t="str">
        <f t="shared" si="262"/>
        <v>3500;2,57</v>
      </c>
      <c r="W414" s="114"/>
      <c r="X414" s="146"/>
      <c r="Y414" s="146"/>
      <c r="Z414" s="146"/>
      <c r="AA414" s="146"/>
      <c r="AB414" s="203"/>
      <c r="AC414" s="203"/>
      <c r="AD414" s="259"/>
      <c r="AE414" s="259"/>
      <c r="AF414" s="259"/>
      <c r="AG414" s="259"/>
      <c r="AH414" s="259"/>
      <c r="AI414" s="259"/>
      <c r="AJ414" s="259"/>
      <c r="AK414" s="259"/>
      <c r="AL414" s="259"/>
      <c r="AM414" s="259"/>
      <c r="AN414" s="259"/>
      <c r="AO414" s="259"/>
      <c r="AP414" s="46"/>
    </row>
    <row r="415" spans="1:42" s="120" customFormat="1" ht="12" x14ac:dyDescent="0.25">
      <c r="A415" s="131"/>
      <c r="B415" s="131"/>
      <c r="C415" s="131"/>
      <c r="D415" s="131"/>
      <c r="E415" s="131"/>
      <c r="F415" s="46"/>
      <c r="G415" s="46"/>
      <c r="H415" s="116"/>
      <c r="J415" s="46"/>
      <c r="K415" s="46"/>
      <c r="L415" s="146"/>
      <c r="M415" s="260"/>
      <c r="N415" s="146"/>
      <c r="O415" s="287">
        <f>+O410/O391*1000</f>
        <v>1091.827560911252</v>
      </c>
      <c r="P415" s="273" t="s">
        <v>105</v>
      </c>
      <c r="Q415" s="287">
        <f t="shared" ref="Q415:V415" si="263">+Q410/Q391*1000</f>
        <v>863.39057835772928</v>
      </c>
      <c r="R415" s="287">
        <f t="shared" si="263"/>
        <v>1002.0731001869194</v>
      </c>
      <c r="S415" s="287">
        <f t="shared" si="263"/>
        <v>1091.827560911252</v>
      </c>
      <c r="T415" s="287">
        <f t="shared" si="263"/>
        <v>1203.0006073298891</v>
      </c>
      <c r="U415" s="287">
        <f t="shared" si="263"/>
        <v>1134.6442642028014</v>
      </c>
      <c r="V415" s="287">
        <f t="shared" si="263"/>
        <v>1049.0108576197024</v>
      </c>
      <c r="W415" s="114"/>
      <c r="X415" s="146"/>
      <c r="Y415" s="146"/>
      <c r="Z415" s="146"/>
      <c r="AA415" s="146"/>
      <c r="AB415" s="203"/>
      <c r="AC415" s="203"/>
      <c r="AD415" s="259"/>
      <c r="AE415" s="259"/>
      <c r="AF415" s="259"/>
      <c r="AG415" s="259"/>
      <c r="AH415" s="259"/>
      <c r="AI415" s="259"/>
      <c r="AJ415" s="259"/>
      <c r="AK415" s="259"/>
      <c r="AL415" s="259"/>
      <c r="AM415" s="259"/>
      <c r="AN415" s="259"/>
      <c r="AO415" s="259"/>
      <c r="AP415" s="46"/>
    </row>
    <row r="416" spans="1:42" s="120" customFormat="1" ht="12" x14ac:dyDescent="0.25">
      <c r="A416" s="131"/>
      <c r="B416" s="131"/>
      <c r="C416" s="131"/>
      <c r="D416" s="131"/>
      <c r="E416" s="131"/>
      <c r="F416" s="46"/>
      <c r="G416" s="46"/>
      <c r="H416" s="116"/>
      <c r="J416" s="46"/>
      <c r="K416" s="46"/>
      <c r="L416" s="146"/>
      <c r="M416" s="260"/>
      <c r="N416" s="146"/>
      <c r="O416" s="287">
        <f>+O415*O411/O410</f>
        <v>1048.1039303146554</v>
      </c>
      <c r="P416" s="273" t="s">
        <v>104</v>
      </c>
      <c r="Q416" s="287">
        <f t="shared" ref="Q416:V416" si="264">+Q415*Q411/Q410</f>
        <v>828.89980283577609</v>
      </c>
      <c r="R416" s="287">
        <f t="shared" si="264"/>
        <v>962.02809572903334</v>
      </c>
      <c r="S416" s="287">
        <f t="shared" si="264"/>
        <v>1048.1039303146554</v>
      </c>
      <c r="T416" s="287">
        <f t="shared" si="264"/>
        <v>1154.6559300353879</v>
      </c>
      <c r="U416" s="287">
        <f t="shared" si="264"/>
        <v>1087.7167029110135</v>
      </c>
      <c r="V416" s="287">
        <f t="shared" si="264"/>
        <v>1008.4911577182974</v>
      </c>
      <c r="W416" s="114"/>
      <c r="X416" s="146"/>
      <c r="Y416" s="146"/>
      <c r="Z416" s="146"/>
      <c r="AA416" s="146"/>
      <c r="AB416" s="203"/>
      <c r="AC416" s="203"/>
      <c r="AD416" s="259"/>
      <c r="AE416" s="259"/>
      <c r="AF416" s="259"/>
      <c r="AG416" s="259"/>
      <c r="AH416" s="259"/>
      <c r="AI416" s="259"/>
      <c r="AJ416" s="259"/>
      <c r="AK416" s="259"/>
      <c r="AL416" s="259"/>
      <c r="AM416" s="259"/>
      <c r="AN416" s="259"/>
      <c r="AO416" s="259"/>
      <c r="AP416" s="46"/>
    </row>
    <row r="417" spans="1:42" s="120" customFormat="1" ht="12" x14ac:dyDescent="0.25">
      <c r="A417" s="131"/>
      <c r="B417" s="131"/>
      <c r="C417" s="131"/>
      <c r="D417" s="131"/>
      <c r="E417" s="131"/>
      <c r="F417" s="46"/>
      <c r="G417" s="46"/>
      <c r="H417" s="116"/>
      <c r="J417" s="46"/>
      <c r="K417" s="46"/>
      <c r="L417" s="146"/>
      <c r="M417" s="260"/>
      <c r="N417" s="146"/>
      <c r="O417" s="287">
        <f>+O415*O412/O410</f>
        <v>935.09771637927713</v>
      </c>
      <c r="P417" s="273" t="s">
        <v>103</v>
      </c>
      <c r="Q417" s="287">
        <f t="shared" ref="Q417:V417" si="265">+Q415*Q412/Q410</f>
        <v>739.75642877812538</v>
      </c>
      <c r="R417" s="287">
        <f t="shared" si="265"/>
        <v>858.52950059719831</v>
      </c>
      <c r="S417" s="287">
        <f t="shared" si="265"/>
        <v>935.09771637927713</v>
      </c>
      <c r="T417" s="287">
        <f t="shared" si="265"/>
        <v>1029.7063576774945</v>
      </c>
      <c r="U417" s="287">
        <f t="shared" si="265"/>
        <v>966.42974758626156</v>
      </c>
      <c r="V417" s="287">
        <f t="shared" si="265"/>
        <v>903.76568517229282</v>
      </c>
      <c r="W417" s="114"/>
      <c r="X417" s="146"/>
      <c r="Y417" s="146"/>
      <c r="Z417" s="146"/>
      <c r="AA417" s="146"/>
      <c r="AB417" s="203"/>
      <c r="AC417" s="203"/>
      <c r="AD417" s="259"/>
      <c r="AE417" s="259"/>
      <c r="AF417" s="259"/>
      <c r="AG417" s="259"/>
      <c r="AH417" s="259"/>
      <c r="AI417" s="259"/>
      <c r="AJ417" s="259"/>
      <c r="AK417" s="259"/>
      <c r="AL417" s="259"/>
      <c r="AM417" s="259"/>
      <c r="AN417" s="259"/>
      <c r="AO417" s="259"/>
      <c r="AP417" s="46"/>
    </row>
    <row r="418" spans="1:42" s="120" customFormat="1" ht="12" x14ac:dyDescent="0.25">
      <c r="A418" s="131"/>
      <c r="B418" s="131"/>
      <c r="C418" s="131"/>
      <c r="D418" s="131"/>
      <c r="E418" s="131"/>
      <c r="F418" s="46"/>
      <c r="G418" s="46"/>
      <c r="H418" s="116"/>
      <c r="J418" s="46"/>
      <c r="K418" s="46"/>
      <c r="L418" s="146"/>
      <c r="M418" s="260"/>
      <c r="N418" s="146"/>
      <c r="O418" s="287">
        <f>+O415-O417</f>
        <v>156.72984453197489</v>
      </c>
      <c r="P418" s="273" t="s">
        <v>102</v>
      </c>
      <c r="Q418" s="287">
        <f t="shared" ref="Q418:V418" si="266">+Q415-Q417</f>
        <v>123.6341495796039</v>
      </c>
      <c r="R418" s="287">
        <f t="shared" si="266"/>
        <v>143.54359958972111</v>
      </c>
      <c r="S418" s="287">
        <f t="shared" si="266"/>
        <v>156.72984453197489</v>
      </c>
      <c r="T418" s="287">
        <f t="shared" si="266"/>
        <v>173.29424965239468</v>
      </c>
      <c r="U418" s="287">
        <f t="shared" si="266"/>
        <v>168.21451661653987</v>
      </c>
      <c r="V418" s="287">
        <f t="shared" si="266"/>
        <v>145.24517244740957</v>
      </c>
      <c r="W418" s="114"/>
      <c r="X418" s="146"/>
      <c r="Y418" s="146"/>
      <c r="Z418" s="146"/>
      <c r="AA418" s="146"/>
      <c r="AB418" s="203"/>
      <c r="AC418" s="203"/>
      <c r="AD418" s="259"/>
      <c r="AE418" s="259"/>
      <c r="AF418" s="259"/>
      <c r="AG418" s="259"/>
      <c r="AH418" s="259"/>
      <c r="AI418" s="259"/>
      <c r="AJ418" s="259"/>
      <c r="AK418" s="259"/>
      <c r="AL418" s="259"/>
      <c r="AM418" s="259"/>
      <c r="AN418" s="259"/>
      <c r="AO418" s="259"/>
      <c r="AP418" s="46"/>
    </row>
    <row r="419" spans="1:42" s="120" customFormat="1" ht="12" x14ac:dyDescent="0.25">
      <c r="A419" s="131"/>
      <c r="B419" s="131"/>
      <c r="C419" s="131"/>
      <c r="D419" s="131"/>
      <c r="E419" s="131"/>
      <c r="F419" s="46"/>
      <c r="G419" s="45"/>
      <c r="H419" s="324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114"/>
      <c r="X419" s="146"/>
      <c r="Y419" s="146"/>
      <c r="Z419" s="146"/>
      <c r="AA419" s="146"/>
      <c r="AB419" s="316"/>
      <c r="AC419" s="316"/>
      <c r="AD419" s="259"/>
      <c r="AE419" s="259"/>
      <c r="AF419" s="259"/>
      <c r="AG419" s="259"/>
      <c r="AH419" s="259"/>
      <c r="AI419" s="259"/>
      <c r="AJ419" s="259"/>
      <c r="AK419" s="259"/>
      <c r="AL419" s="259"/>
      <c r="AM419" s="259"/>
      <c r="AN419" s="259"/>
      <c r="AO419" s="259"/>
      <c r="AP419" s="45"/>
    </row>
    <row r="420" spans="1:42" s="120" customFormat="1" ht="12" x14ac:dyDescent="0.25">
      <c r="A420" s="131" t="s">
        <v>30</v>
      </c>
      <c r="B420" s="131"/>
      <c r="C420" s="131"/>
      <c r="D420" s="131"/>
      <c r="E420" s="131"/>
      <c r="F420" s="46">
        <v>1000</v>
      </c>
      <c r="G420" s="46"/>
      <c r="H420" s="116"/>
      <c r="J420" s="289" t="s">
        <v>236</v>
      </c>
      <c r="K420" s="46"/>
      <c r="L420" s="146"/>
      <c r="M420" s="260"/>
      <c r="N420" s="306"/>
      <c r="O420" s="290">
        <v>820</v>
      </c>
      <c r="P420" s="289" t="str">
        <f>J420</f>
        <v>Odkupna cena; ocena KIS</v>
      </c>
      <c r="Q420" s="290">
        <v>820</v>
      </c>
      <c r="R420" s="290">
        <v>820</v>
      </c>
      <c r="S420" s="290">
        <v>820</v>
      </c>
      <c r="T420" s="290">
        <v>820</v>
      </c>
      <c r="U420" s="290">
        <v>820</v>
      </c>
      <c r="V420" s="290">
        <v>820</v>
      </c>
      <c r="W420" s="294"/>
      <c r="X420" s="257"/>
      <c r="Y420" s="257"/>
      <c r="Z420" s="257"/>
      <c r="AA420" s="257"/>
      <c r="AB420" s="203"/>
      <c r="AC420" s="203"/>
      <c r="AD420" s="259"/>
      <c r="AE420" s="259"/>
      <c r="AF420" s="259"/>
      <c r="AG420" s="259"/>
      <c r="AH420" s="259"/>
      <c r="AI420" s="259"/>
      <c r="AJ420" s="259"/>
      <c r="AK420" s="259"/>
      <c r="AL420" s="259"/>
      <c r="AM420" s="259"/>
      <c r="AN420" s="259"/>
      <c r="AO420" s="259"/>
      <c r="AP420" s="46"/>
    </row>
    <row r="421" spans="1:42" s="120" customFormat="1" ht="12" x14ac:dyDescent="0.25">
      <c r="A421" s="131"/>
      <c r="B421" s="131"/>
      <c r="C421" s="131"/>
      <c r="D421" s="131"/>
      <c r="E421" s="131"/>
      <c r="F421" s="46"/>
      <c r="G421" s="45"/>
      <c r="H421" s="324"/>
      <c r="J421" s="291" t="str">
        <f>+J384</f>
        <v>Bruto dodana vrednost</v>
      </c>
      <c r="K421" s="46"/>
      <c r="L421" s="257"/>
      <c r="M421" s="258"/>
      <c r="N421" s="257"/>
      <c r="O421" s="292">
        <f>O409+O408+O396-O394</f>
        <v>3542.2158467492859</v>
      </c>
      <c r="P421" s="288"/>
      <c r="Q421" s="292">
        <f t="shared" ref="Q421:V421" si="267">Q409+Q408+Q396-Q394</f>
        <v>5675.7921025257674</v>
      </c>
      <c r="R421" s="292">
        <f t="shared" si="267"/>
        <v>4238.9719804057786</v>
      </c>
      <c r="S421" s="292">
        <f t="shared" si="267"/>
        <v>3542.2158467492859</v>
      </c>
      <c r="T421" s="292">
        <f t="shared" si="267"/>
        <v>2855.6330490741339</v>
      </c>
      <c r="U421" s="292">
        <f t="shared" si="267"/>
        <v>3479.3836959231194</v>
      </c>
      <c r="V421" s="292">
        <f t="shared" si="267"/>
        <v>3605.0479975754515</v>
      </c>
      <c r="W421" s="114"/>
      <c r="X421" s="146"/>
      <c r="Y421" s="146"/>
      <c r="Z421" s="146"/>
      <c r="AA421" s="146"/>
      <c r="AB421" s="316"/>
      <c r="AC421" s="316"/>
      <c r="AD421" s="259"/>
      <c r="AE421" s="259"/>
      <c r="AF421" s="259"/>
      <c r="AG421" s="259"/>
      <c r="AH421" s="259"/>
      <c r="AI421" s="259"/>
      <c r="AJ421" s="259"/>
      <c r="AK421" s="259"/>
      <c r="AL421" s="259"/>
      <c r="AM421" s="259"/>
      <c r="AN421" s="259"/>
      <c r="AO421" s="259"/>
    </row>
    <row r="422" spans="1:42" s="120" customFormat="1" ht="12" x14ac:dyDescent="0.25">
      <c r="A422" s="196" t="s">
        <v>26</v>
      </c>
      <c r="B422" s="131"/>
      <c r="C422" s="131"/>
      <c r="D422" s="131"/>
      <c r="E422" s="131"/>
      <c r="F422" s="46"/>
      <c r="G422" s="146"/>
      <c r="H422" s="116"/>
      <c r="J422" s="275" t="s">
        <v>26</v>
      </c>
      <c r="K422" s="128"/>
      <c r="L422" s="146"/>
      <c r="M422" s="260"/>
      <c r="N422" s="146"/>
      <c r="O422" s="117">
        <v>2068.9986770286582</v>
      </c>
      <c r="P422" s="124"/>
      <c r="Q422" s="117">
        <v>2109.5407821031986</v>
      </c>
      <c r="R422" s="117">
        <v>2082.9349175906736</v>
      </c>
      <c r="S422" s="117">
        <v>2068.9986770286582</v>
      </c>
      <c r="T422" s="117">
        <v>2055.5802428819093</v>
      </c>
      <c r="U422" s="117">
        <v>2134.7150338895194</v>
      </c>
      <c r="V422" s="117">
        <v>2003.282320167797</v>
      </c>
      <c r="W422" s="294"/>
      <c r="X422" s="257"/>
      <c r="Y422" s="257"/>
      <c r="Z422" s="257"/>
      <c r="AA422" s="257"/>
      <c r="AB422" s="203"/>
      <c r="AC422" s="203"/>
      <c r="AD422" s="259"/>
      <c r="AE422" s="259"/>
      <c r="AF422" s="259"/>
      <c r="AG422" s="259"/>
      <c r="AH422" s="259"/>
      <c r="AI422" s="259"/>
      <c r="AJ422" s="259"/>
      <c r="AK422" s="259"/>
      <c r="AL422" s="259"/>
      <c r="AM422" s="259"/>
      <c r="AN422" s="259"/>
      <c r="AO422" s="259"/>
    </row>
    <row r="423" spans="1:42" s="120" customFormat="1" ht="12" x14ac:dyDescent="0.25">
      <c r="A423" s="131"/>
      <c r="B423" s="131"/>
      <c r="C423" s="131"/>
      <c r="D423" s="131"/>
      <c r="E423" s="131"/>
      <c r="G423" s="203"/>
      <c r="H423" s="129"/>
      <c r="J423" s="46" t="s">
        <v>190</v>
      </c>
      <c r="K423" s="128"/>
      <c r="L423" s="146"/>
      <c r="M423" s="260"/>
      <c r="N423" s="146"/>
      <c r="O423" s="313">
        <f>+O421-O422</f>
        <v>1473.2171697206277</v>
      </c>
      <c r="P423" s="124"/>
      <c r="Q423" s="313">
        <f t="shared" ref="Q423:V423" si="268">+Q421-Q422</f>
        <v>3566.2513204225688</v>
      </c>
      <c r="R423" s="313">
        <f t="shared" si="268"/>
        <v>2156.0370628151049</v>
      </c>
      <c r="S423" s="313">
        <f t="shared" si="268"/>
        <v>1473.2171697206277</v>
      </c>
      <c r="T423" s="313">
        <f t="shared" si="268"/>
        <v>800.05280619222458</v>
      </c>
      <c r="U423" s="313">
        <f t="shared" si="268"/>
        <v>1344.6686620336</v>
      </c>
      <c r="V423" s="313">
        <f t="shared" si="268"/>
        <v>1601.7656774076545</v>
      </c>
      <c r="W423" s="294"/>
      <c r="X423" s="257"/>
      <c r="Y423" s="257"/>
      <c r="Z423" s="257"/>
      <c r="AA423" s="257"/>
      <c r="AB423" s="203"/>
      <c r="AC423" s="203"/>
      <c r="AD423" s="259"/>
      <c r="AE423" s="259"/>
      <c r="AF423" s="259"/>
      <c r="AG423" s="259"/>
      <c r="AH423" s="259"/>
      <c r="AI423" s="259"/>
      <c r="AJ423" s="259"/>
      <c r="AK423" s="259"/>
      <c r="AL423" s="259"/>
      <c r="AM423" s="259"/>
      <c r="AN423" s="259"/>
      <c r="AO423" s="259"/>
    </row>
    <row r="424" spans="1:42" ht="12" x14ac:dyDescent="0.25">
      <c r="I424" s="120"/>
      <c r="J424" s="118"/>
      <c r="K424" s="119"/>
      <c r="L424" s="119"/>
      <c r="M424" s="241"/>
      <c r="N424" s="119"/>
      <c r="O424" s="297"/>
      <c r="P424" s="297"/>
      <c r="Q424" s="242"/>
      <c r="R424" s="242"/>
      <c r="S424" s="242"/>
      <c r="T424" s="242"/>
      <c r="U424" s="242"/>
      <c r="V424" s="119"/>
      <c r="W424" s="119"/>
      <c r="X424" s="242"/>
      <c r="Y424" s="242"/>
      <c r="Z424" s="119"/>
      <c r="AA424" s="119"/>
      <c r="AB424" s="146"/>
      <c r="AC424" s="146"/>
      <c r="AD424" s="259"/>
      <c r="AE424" s="259"/>
      <c r="AF424" s="259"/>
      <c r="AG424" s="259"/>
      <c r="AH424" s="259"/>
      <c r="AI424" s="259"/>
      <c r="AJ424" s="259"/>
      <c r="AK424" s="259"/>
      <c r="AL424" s="259"/>
      <c r="AM424" s="259"/>
      <c r="AN424" s="259"/>
      <c r="AO424" s="259"/>
    </row>
    <row r="425" spans="1:42" ht="12" x14ac:dyDescent="0.25">
      <c r="G425" s="112"/>
      <c r="J425" s="89"/>
      <c r="Z425" s="146"/>
      <c r="AA425" s="146"/>
      <c r="AB425" s="146"/>
      <c r="AC425" s="146"/>
      <c r="AD425" s="259"/>
      <c r="AE425" s="259"/>
      <c r="AF425" s="259"/>
      <c r="AG425" s="259"/>
      <c r="AH425" s="259"/>
      <c r="AI425" s="259"/>
      <c r="AJ425" s="259"/>
      <c r="AK425" s="259"/>
      <c r="AL425" s="259"/>
      <c r="AM425" s="259"/>
      <c r="AN425" s="259"/>
      <c r="AO425" s="259"/>
    </row>
    <row r="426" spans="1:42" ht="12" x14ac:dyDescent="0.25">
      <c r="G426" s="195"/>
      <c r="J426" s="130"/>
      <c r="L426" s="191"/>
      <c r="M426" s="250"/>
      <c r="N426" s="237"/>
      <c r="O426" s="191"/>
      <c r="P426" s="191"/>
      <c r="Q426" s="191"/>
      <c r="R426" s="191"/>
      <c r="S426" s="191"/>
      <c r="T426" s="191"/>
      <c r="U426" s="191"/>
      <c r="V426" s="191"/>
      <c r="W426" s="191"/>
      <c r="Z426" s="146"/>
      <c r="AA426" s="146"/>
      <c r="AB426" s="146"/>
      <c r="AC426" s="146"/>
      <c r="AD426" s="259"/>
      <c r="AE426" s="259"/>
      <c r="AF426" s="259"/>
      <c r="AG426" s="259"/>
      <c r="AH426" s="259"/>
      <c r="AI426" s="259"/>
      <c r="AJ426" s="259"/>
      <c r="AK426" s="259"/>
      <c r="AL426" s="259"/>
      <c r="AM426" s="259"/>
      <c r="AN426" s="259"/>
      <c r="AO426" s="259"/>
    </row>
    <row r="427" spans="1:42" ht="12" x14ac:dyDescent="0.25">
      <c r="J427" s="45"/>
      <c r="Z427" s="146"/>
      <c r="AA427" s="146"/>
      <c r="AB427" s="146"/>
      <c r="AC427" s="146"/>
      <c r="AD427" s="259"/>
      <c r="AE427" s="259"/>
      <c r="AF427" s="259"/>
      <c r="AG427" s="259"/>
      <c r="AH427" s="259"/>
      <c r="AI427" s="259"/>
      <c r="AJ427" s="259"/>
      <c r="AK427" s="259"/>
      <c r="AL427" s="259"/>
      <c r="AM427" s="259"/>
      <c r="AN427" s="259"/>
      <c r="AO427" s="259"/>
    </row>
    <row r="428" spans="1:42" ht="12" x14ac:dyDescent="0.25">
      <c r="H428" s="325"/>
      <c r="J428" s="45"/>
      <c r="L428" s="294"/>
      <c r="M428" s="326"/>
      <c r="N428" s="257"/>
      <c r="O428" s="294"/>
      <c r="P428" s="294"/>
      <c r="Q428" s="294"/>
      <c r="R428" s="294"/>
      <c r="S428" s="294"/>
      <c r="T428" s="294"/>
      <c r="U428" s="294"/>
      <c r="V428" s="294"/>
      <c r="W428" s="294"/>
      <c r="Z428" s="146"/>
      <c r="AA428" s="146"/>
      <c r="AB428" s="146"/>
      <c r="AC428" s="146"/>
      <c r="AD428" s="259"/>
      <c r="AE428" s="259"/>
      <c r="AF428" s="259"/>
      <c r="AG428" s="259"/>
      <c r="AH428" s="259"/>
      <c r="AI428" s="259"/>
      <c r="AJ428" s="259"/>
      <c r="AK428" s="259"/>
      <c r="AL428" s="259"/>
      <c r="AM428" s="259"/>
      <c r="AN428" s="259"/>
      <c r="AO428" s="259"/>
    </row>
    <row r="429" spans="1:42" ht="12" x14ac:dyDescent="0.25">
      <c r="H429" s="325"/>
      <c r="L429" s="114"/>
      <c r="M429" s="230"/>
      <c r="N429" s="146"/>
      <c r="O429" s="114"/>
      <c r="P429" s="114"/>
      <c r="Q429" s="114"/>
      <c r="R429" s="114"/>
      <c r="S429" s="114"/>
      <c r="T429" s="114"/>
      <c r="U429" s="114"/>
      <c r="V429" s="114"/>
      <c r="W429" s="114"/>
      <c r="Z429" s="146"/>
      <c r="AA429" s="146"/>
      <c r="AB429" s="146"/>
      <c r="AC429" s="146"/>
      <c r="AD429" s="259"/>
      <c r="AE429" s="259"/>
      <c r="AF429" s="259"/>
      <c r="AG429" s="259"/>
      <c r="AH429" s="259"/>
      <c r="AI429" s="259"/>
      <c r="AJ429" s="259"/>
      <c r="AK429" s="259"/>
      <c r="AL429" s="259"/>
      <c r="AM429" s="259"/>
      <c r="AN429" s="259"/>
      <c r="AO429" s="259"/>
    </row>
    <row r="430" spans="1:42" ht="12" x14ac:dyDescent="0.25">
      <c r="H430" s="325"/>
      <c r="L430" s="114"/>
      <c r="M430" s="230"/>
      <c r="N430" s="146"/>
      <c r="O430" s="114"/>
      <c r="P430" s="114"/>
      <c r="Q430" s="114"/>
      <c r="R430" s="114"/>
      <c r="S430" s="114"/>
      <c r="T430" s="114"/>
      <c r="U430" s="114"/>
      <c r="V430" s="114"/>
      <c r="W430" s="114"/>
      <c r="Z430" s="146"/>
      <c r="AA430" s="146"/>
      <c r="AB430" s="146"/>
      <c r="AC430" s="146"/>
      <c r="AD430" s="259"/>
      <c r="AE430" s="259"/>
      <c r="AF430" s="259"/>
      <c r="AG430" s="259"/>
      <c r="AH430" s="259"/>
      <c r="AI430" s="259"/>
      <c r="AJ430" s="259"/>
      <c r="AK430" s="259"/>
      <c r="AL430" s="259"/>
      <c r="AM430" s="259"/>
      <c r="AN430" s="259"/>
      <c r="AO430" s="259"/>
    </row>
    <row r="431" spans="1:42" ht="12" x14ac:dyDescent="0.25">
      <c r="H431" s="325"/>
      <c r="L431" s="114"/>
      <c r="M431" s="230"/>
      <c r="N431" s="146"/>
      <c r="O431" s="114"/>
      <c r="P431" s="114"/>
      <c r="Q431" s="114"/>
      <c r="R431" s="114"/>
      <c r="S431" s="114"/>
      <c r="T431" s="114"/>
      <c r="U431" s="114"/>
      <c r="V431" s="114"/>
      <c r="W431" s="114"/>
      <c r="Z431" s="146"/>
      <c r="AA431" s="146"/>
      <c r="AB431" s="146"/>
      <c r="AC431" s="146"/>
      <c r="AD431" s="259"/>
      <c r="AE431" s="259"/>
      <c r="AF431" s="259"/>
      <c r="AG431" s="259"/>
      <c r="AH431" s="259"/>
      <c r="AI431" s="259"/>
      <c r="AJ431" s="259"/>
      <c r="AK431" s="259"/>
      <c r="AL431" s="259"/>
      <c r="AM431" s="259"/>
      <c r="AN431" s="259"/>
      <c r="AO431" s="259"/>
    </row>
    <row r="432" spans="1:42" ht="12" x14ac:dyDescent="0.25">
      <c r="H432" s="325"/>
      <c r="L432" s="114"/>
      <c r="M432" s="230"/>
      <c r="N432" s="146"/>
      <c r="O432" s="114"/>
      <c r="P432" s="114"/>
      <c r="Q432" s="114"/>
      <c r="R432" s="114"/>
      <c r="S432" s="114"/>
      <c r="T432" s="114"/>
      <c r="U432" s="114"/>
      <c r="V432" s="114"/>
      <c r="W432" s="114"/>
      <c r="Z432" s="146"/>
      <c r="AA432" s="146"/>
      <c r="AB432" s="146"/>
      <c r="AC432" s="146"/>
      <c r="AD432" s="259"/>
      <c r="AE432" s="259"/>
      <c r="AF432" s="259"/>
      <c r="AG432" s="259"/>
      <c r="AH432" s="259"/>
      <c r="AI432" s="259"/>
      <c r="AJ432" s="259"/>
      <c r="AK432" s="259"/>
      <c r="AL432" s="259"/>
      <c r="AM432" s="259"/>
      <c r="AN432" s="259"/>
      <c r="AO432" s="259"/>
    </row>
    <row r="433" spans="7:41" ht="12" x14ac:dyDescent="0.25">
      <c r="H433" s="325"/>
      <c r="L433" s="114"/>
      <c r="M433" s="230"/>
      <c r="N433" s="146"/>
      <c r="O433" s="114"/>
      <c r="P433" s="114"/>
      <c r="Q433" s="114"/>
      <c r="R433" s="114"/>
      <c r="S433" s="114"/>
      <c r="T433" s="114"/>
      <c r="U433" s="114"/>
      <c r="V433" s="114"/>
      <c r="W433" s="114"/>
      <c r="Z433" s="146"/>
      <c r="AA433" s="146"/>
      <c r="AB433" s="146"/>
      <c r="AC433" s="146"/>
      <c r="AD433" s="259"/>
      <c r="AE433" s="259"/>
      <c r="AF433" s="259"/>
      <c r="AG433" s="259"/>
      <c r="AH433" s="259"/>
      <c r="AI433" s="259"/>
      <c r="AJ433" s="259"/>
      <c r="AK433" s="259"/>
      <c r="AL433" s="259"/>
      <c r="AM433" s="259"/>
      <c r="AN433" s="259"/>
      <c r="AO433" s="259"/>
    </row>
    <row r="434" spans="7:41" ht="12" x14ac:dyDescent="0.25">
      <c r="H434" s="325"/>
      <c r="L434" s="114"/>
      <c r="M434" s="230"/>
      <c r="N434" s="146"/>
      <c r="O434" s="114"/>
      <c r="P434" s="114"/>
      <c r="Q434" s="114"/>
      <c r="R434" s="114"/>
      <c r="S434" s="114"/>
      <c r="T434" s="114"/>
      <c r="U434" s="114"/>
      <c r="V434" s="114"/>
      <c r="W434" s="114"/>
      <c r="Z434" s="146"/>
      <c r="AA434" s="146"/>
      <c r="AB434" s="146"/>
      <c r="AC434" s="146"/>
      <c r="AD434" s="259"/>
      <c r="AE434" s="259"/>
      <c r="AF434" s="259"/>
      <c r="AG434" s="259"/>
      <c r="AH434" s="259"/>
      <c r="AI434" s="259"/>
      <c r="AJ434" s="259"/>
      <c r="AK434" s="259"/>
      <c r="AL434" s="259"/>
      <c r="AM434" s="259"/>
      <c r="AN434" s="259"/>
      <c r="AO434" s="259"/>
    </row>
    <row r="435" spans="7:41" ht="12" x14ac:dyDescent="0.25">
      <c r="H435" s="325"/>
      <c r="L435" s="114"/>
      <c r="M435" s="230"/>
      <c r="N435" s="146"/>
      <c r="O435" s="114"/>
      <c r="P435" s="114"/>
      <c r="Q435" s="114"/>
      <c r="R435" s="114"/>
      <c r="S435" s="114"/>
      <c r="T435" s="114"/>
      <c r="U435" s="114"/>
      <c r="V435" s="114"/>
      <c r="W435" s="114"/>
      <c r="Z435" s="146"/>
      <c r="AA435" s="146"/>
      <c r="AB435" s="146"/>
      <c r="AC435" s="146"/>
      <c r="AD435" s="259"/>
      <c r="AE435" s="259"/>
      <c r="AF435" s="259"/>
      <c r="AG435" s="259"/>
      <c r="AH435" s="259"/>
      <c r="AI435" s="259"/>
      <c r="AJ435" s="259"/>
      <c r="AK435" s="259"/>
      <c r="AL435" s="259"/>
      <c r="AM435" s="259"/>
      <c r="AN435" s="259"/>
      <c r="AO435" s="259"/>
    </row>
    <row r="436" spans="7:41" ht="12" x14ac:dyDescent="0.25">
      <c r="J436" s="45"/>
      <c r="L436" s="294"/>
      <c r="M436" s="326"/>
      <c r="N436" s="257"/>
      <c r="O436" s="294"/>
      <c r="P436" s="294"/>
      <c r="Q436" s="294"/>
      <c r="R436" s="294"/>
      <c r="S436" s="294"/>
      <c r="T436" s="294"/>
      <c r="U436" s="294"/>
      <c r="V436" s="294"/>
      <c r="W436" s="294"/>
      <c r="X436" s="294"/>
      <c r="Z436" s="146"/>
      <c r="AA436" s="146"/>
      <c r="AB436" s="146"/>
      <c r="AC436" s="146"/>
      <c r="AD436" s="259"/>
      <c r="AE436" s="259"/>
      <c r="AF436" s="259"/>
      <c r="AG436" s="259"/>
      <c r="AH436" s="259"/>
      <c r="AI436" s="259"/>
      <c r="AJ436" s="259"/>
      <c r="AK436" s="259"/>
      <c r="AL436" s="259"/>
      <c r="AM436" s="259"/>
      <c r="AN436" s="259"/>
      <c r="AO436" s="259"/>
    </row>
    <row r="437" spans="7:41" ht="12" x14ac:dyDescent="0.25">
      <c r="L437" s="114"/>
      <c r="M437" s="230"/>
      <c r="N437" s="146"/>
      <c r="O437" s="114"/>
      <c r="P437" s="114"/>
      <c r="Q437" s="114"/>
      <c r="R437" s="114"/>
      <c r="S437" s="114"/>
      <c r="T437" s="114"/>
      <c r="U437" s="114"/>
      <c r="V437" s="114"/>
      <c r="W437" s="114"/>
      <c r="Z437" s="146"/>
      <c r="AA437" s="146"/>
      <c r="AB437" s="146"/>
      <c r="AC437" s="146"/>
      <c r="AD437" s="259"/>
      <c r="AE437" s="259"/>
      <c r="AF437" s="259"/>
      <c r="AG437" s="259"/>
      <c r="AH437" s="259"/>
      <c r="AI437" s="259"/>
      <c r="AJ437" s="259"/>
      <c r="AK437" s="259"/>
      <c r="AL437" s="259"/>
      <c r="AM437" s="259"/>
      <c r="AN437" s="259"/>
      <c r="AO437" s="259"/>
    </row>
    <row r="438" spans="7:41" ht="12" x14ac:dyDescent="0.25">
      <c r="J438" s="45"/>
      <c r="L438" s="294"/>
      <c r="M438" s="326"/>
      <c r="N438" s="257"/>
      <c r="O438" s="294"/>
      <c r="P438" s="294"/>
      <c r="Q438" s="294"/>
      <c r="R438" s="294"/>
      <c r="S438" s="294"/>
      <c r="T438" s="294"/>
      <c r="U438" s="294"/>
      <c r="V438" s="294"/>
      <c r="W438" s="294"/>
      <c r="Z438" s="146"/>
      <c r="AA438" s="146"/>
      <c r="AB438" s="146"/>
      <c r="AC438" s="146"/>
      <c r="AD438" s="259"/>
      <c r="AE438" s="259"/>
      <c r="AF438" s="259"/>
      <c r="AG438" s="259"/>
      <c r="AH438" s="259"/>
      <c r="AI438" s="259"/>
      <c r="AJ438" s="259"/>
      <c r="AK438" s="259"/>
      <c r="AL438" s="259"/>
      <c r="AM438" s="259"/>
      <c r="AN438" s="259"/>
      <c r="AO438" s="259"/>
    </row>
    <row r="439" spans="7:41" ht="12" x14ac:dyDescent="0.25">
      <c r="L439" s="114"/>
      <c r="M439" s="230"/>
      <c r="N439" s="146"/>
      <c r="O439" s="114"/>
      <c r="P439" s="114"/>
      <c r="Q439" s="114"/>
      <c r="R439" s="114"/>
      <c r="S439" s="114"/>
      <c r="T439" s="114"/>
      <c r="U439" s="114"/>
      <c r="V439" s="114"/>
      <c r="W439" s="114"/>
      <c r="Z439" s="146"/>
      <c r="AA439" s="146"/>
      <c r="AB439" s="146"/>
      <c r="AC439" s="146"/>
      <c r="AD439" s="259"/>
      <c r="AE439" s="259"/>
      <c r="AF439" s="259"/>
      <c r="AG439" s="259"/>
      <c r="AH439" s="259"/>
      <c r="AI439" s="259"/>
      <c r="AJ439" s="259"/>
      <c r="AK439" s="259"/>
      <c r="AL439" s="259"/>
      <c r="AM439" s="259"/>
      <c r="AN439" s="259"/>
      <c r="AO439" s="259"/>
    </row>
    <row r="440" spans="7:41" ht="12" x14ac:dyDescent="0.25">
      <c r="L440" s="114"/>
      <c r="M440" s="230"/>
      <c r="N440" s="146"/>
      <c r="O440" s="114"/>
      <c r="P440" s="114"/>
      <c r="Q440" s="114"/>
      <c r="R440" s="114"/>
      <c r="S440" s="114"/>
      <c r="T440" s="114"/>
      <c r="U440" s="114"/>
      <c r="V440" s="114"/>
      <c r="W440" s="114"/>
      <c r="Z440" s="146"/>
      <c r="AA440" s="146"/>
      <c r="AB440" s="146"/>
      <c r="AC440" s="146"/>
      <c r="AD440" s="259"/>
      <c r="AE440" s="259"/>
      <c r="AF440" s="259"/>
      <c r="AG440" s="259"/>
      <c r="AH440" s="259"/>
      <c r="AI440" s="259"/>
      <c r="AJ440" s="259"/>
      <c r="AK440" s="259"/>
      <c r="AL440" s="259"/>
      <c r="AM440" s="259"/>
      <c r="AN440" s="259"/>
      <c r="AO440" s="259"/>
    </row>
    <row r="441" spans="7:41" ht="12" x14ac:dyDescent="0.25">
      <c r="L441" s="114"/>
      <c r="M441" s="230"/>
      <c r="N441" s="146"/>
      <c r="O441" s="114"/>
      <c r="P441" s="114"/>
      <c r="Q441" s="114"/>
      <c r="R441" s="114"/>
      <c r="S441" s="114"/>
      <c r="T441" s="114"/>
      <c r="U441" s="114"/>
      <c r="V441" s="114"/>
      <c r="W441" s="114"/>
      <c r="Z441" s="146"/>
      <c r="AA441" s="146"/>
      <c r="AB441" s="146"/>
      <c r="AC441" s="146"/>
      <c r="AD441" s="259"/>
      <c r="AE441" s="259"/>
      <c r="AF441" s="259"/>
      <c r="AG441" s="259"/>
      <c r="AH441" s="259"/>
      <c r="AI441" s="259"/>
      <c r="AJ441" s="259"/>
      <c r="AK441" s="259"/>
      <c r="AL441" s="259"/>
      <c r="AM441" s="259"/>
      <c r="AN441" s="259"/>
      <c r="AO441" s="259"/>
    </row>
    <row r="442" spans="7:41" ht="12" x14ac:dyDescent="0.25">
      <c r="L442" s="114"/>
      <c r="M442" s="230"/>
      <c r="N442" s="146"/>
      <c r="O442" s="114"/>
      <c r="P442" s="114"/>
      <c r="Q442" s="114"/>
      <c r="R442" s="114"/>
      <c r="S442" s="114"/>
      <c r="T442" s="114"/>
      <c r="U442" s="114"/>
      <c r="V442" s="114"/>
      <c r="W442" s="114"/>
      <c r="Z442" s="146"/>
      <c r="AA442" s="146"/>
      <c r="AB442" s="146"/>
      <c r="AC442" s="146"/>
      <c r="AD442" s="259"/>
      <c r="AE442" s="259"/>
      <c r="AF442" s="259"/>
      <c r="AG442" s="259"/>
      <c r="AH442" s="259"/>
      <c r="AI442" s="259"/>
      <c r="AJ442" s="259"/>
      <c r="AK442" s="259"/>
      <c r="AL442" s="259"/>
      <c r="AM442" s="259"/>
      <c r="AN442" s="259"/>
      <c r="AO442" s="259"/>
    </row>
    <row r="443" spans="7:41" ht="12" x14ac:dyDescent="0.25">
      <c r="G443" s="114"/>
      <c r="H443" s="323"/>
      <c r="J443" s="72"/>
      <c r="K443" s="128"/>
      <c r="L443" s="278"/>
      <c r="M443" s="279"/>
      <c r="N443" s="272"/>
      <c r="O443" s="278"/>
      <c r="P443" s="278"/>
      <c r="Q443" s="278"/>
      <c r="R443" s="278"/>
      <c r="S443" s="278"/>
      <c r="T443" s="278"/>
      <c r="U443" s="278"/>
      <c r="V443" s="278"/>
      <c r="W443" s="278"/>
      <c r="Z443" s="146"/>
      <c r="AA443" s="146"/>
      <c r="AB443" s="146"/>
      <c r="AC443" s="146"/>
      <c r="AD443" s="259"/>
      <c r="AE443" s="259"/>
      <c r="AF443" s="259"/>
      <c r="AG443" s="259"/>
      <c r="AH443" s="259"/>
      <c r="AI443" s="259"/>
      <c r="AJ443" s="259"/>
      <c r="AK443" s="259"/>
      <c r="AL443" s="259"/>
      <c r="AM443" s="259"/>
      <c r="AN443" s="259"/>
      <c r="AO443" s="259"/>
    </row>
    <row r="444" spans="7:41" ht="12" x14ac:dyDescent="0.25">
      <c r="G444" s="128"/>
      <c r="H444" s="323"/>
      <c r="J444" s="72"/>
      <c r="K444" s="128"/>
      <c r="L444" s="278"/>
      <c r="M444" s="279"/>
      <c r="N444" s="272"/>
      <c r="O444" s="278"/>
      <c r="P444" s="278"/>
      <c r="Q444" s="278"/>
      <c r="R444" s="278"/>
      <c r="S444" s="278"/>
      <c r="T444" s="278"/>
      <c r="U444" s="278"/>
      <c r="V444" s="278"/>
      <c r="W444" s="278"/>
      <c r="Z444" s="146"/>
      <c r="AA444" s="146"/>
      <c r="AB444" s="146"/>
      <c r="AC444" s="146"/>
      <c r="AD444" s="259"/>
      <c r="AE444" s="259"/>
      <c r="AF444" s="259"/>
      <c r="AG444" s="259"/>
      <c r="AH444" s="259"/>
      <c r="AI444" s="259"/>
      <c r="AJ444" s="259"/>
      <c r="AK444" s="259"/>
      <c r="AL444" s="259"/>
      <c r="AM444" s="259"/>
      <c r="AN444" s="259"/>
      <c r="AO444" s="259"/>
    </row>
    <row r="445" spans="7:41" ht="12" x14ac:dyDescent="0.25">
      <c r="G445" s="45"/>
      <c r="H445" s="324"/>
      <c r="J445" s="45"/>
      <c r="L445" s="294"/>
      <c r="M445" s="326"/>
      <c r="N445" s="272"/>
      <c r="O445" s="294"/>
      <c r="P445" s="294"/>
      <c r="Q445" s="294"/>
      <c r="R445" s="294"/>
      <c r="S445" s="294"/>
      <c r="T445" s="294"/>
      <c r="U445" s="294"/>
      <c r="V445" s="294"/>
      <c r="W445" s="294"/>
      <c r="Z445" s="146"/>
      <c r="AA445" s="146"/>
      <c r="AB445" s="146"/>
      <c r="AC445" s="146"/>
      <c r="AD445" s="259"/>
      <c r="AE445" s="259"/>
      <c r="AF445" s="259"/>
      <c r="AG445" s="259"/>
      <c r="AH445" s="259"/>
      <c r="AI445" s="259"/>
      <c r="AJ445" s="259"/>
      <c r="AK445" s="259"/>
      <c r="AL445" s="259"/>
      <c r="AM445" s="259"/>
      <c r="AN445" s="259"/>
      <c r="AO445" s="259"/>
    </row>
    <row r="446" spans="7:41" ht="12" x14ac:dyDescent="0.25">
      <c r="L446" s="114"/>
      <c r="M446" s="230"/>
      <c r="N446" s="146"/>
      <c r="O446" s="114"/>
      <c r="P446" s="114"/>
      <c r="Q446" s="114"/>
      <c r="R446" s="114"/>
      <c r="S446" s="114"/>
      <c r="T446" s="114"/>
      <c r="U446" s="114"/>
      <c r="V446" s="114"/>
      <c r="W446" s="114"/>
      <c r="Z446" s="146"/>
      <c r="AA446" s="146"/>
      <c r="AB446" s="146"/>
      <c r="AC446" s="146"/>
      <c r="AD446" s="259"/>
      <c r="AE446" s="259"/>
      <c r="AF446" s="259"/>
      <c r="AG446" s="259"/>
      <c r="AH446" s="259"/>
      <c r="AI446" s="259"/>
      <c r="AJ446" s="259"/>
      <c r="AK446" s="259"/>
      <c r="AL446" s="259"/>
      <c r="AM446" s="259"/>
      <c r="AN446" s="259"/>
      <c r="AO446" s="259"/>
    </row>
    <row r="447" spans="7:41" ht="12" x14ac:dyDescent="0.25">
      <c r="J447" s="45"/>
      <c r="L447" s="114"/>
      <c r="M447" s="230"/>
      <c r="N447" s="146"/>
      <c r="O447" s="114"/>
      <c r="P447" s="114"/>
      <c r="Q447" s="114"/>
      <c r="R447" s="114"/>
      <c r="S447" s="114"/>
      <c r="T447" s="114"/>
      <c r="U447" s="114"/>
      <c r="V447" s="114"/>
      <c r="W447" s="114"/>
      <c r="Z447" s="146"/>
      <c r="AA447" s="146"/>
      <c r="AB447" s="146"/>
      <c r="AC447" s="146"/>
      <c r="AD447" s="259"/>
      <c r="AE447" s="259"/>
      <c r="AF447" s="259"/>
      <c r="AG447" s="259"/>
      <c r="AH447" s="259"/>
      <c r="AI447" s="259"/>
      <c r="AJ447" s="259"/>
      <c r="AK447" s="259"/>
      <c r="AL447" s="259"/>
      <c r="AM447" s="259"/>
      <c r="AN447" s="259"/>
      <c r="AO447" s="259"/>
    </row>
    <row r="448" spans="7:41" ht="12" x14ac:dyDescent="0.25">
      <c r="L448" s="114"/>
      <c r="M448" s="230"/>
      <c r="N448" s="146"/>
      <c r="O448" s="114"/>
      <c r="P448" s="114"/>
      <c r="Q448" s="114"/>
      <c r="R448" s="114"/>
      <c r="S448" s="114"/>
      <c r="T448" s="114"/>
      <c r="U448" s="114"/>
      <c r="V448" s="114"/>
      <c r="W448" s="114"/>
      <c r="Z448" s="146"/>
      <c r="AA448" s="146"/>
      <c r="AB448" s="146"/>
      <c r="AC448" s="146"/>
      <c r="AD448" s="259"/>
      <c r="AE448" s="259"/>
      <c r="AF448" s="259"/>
      <c r="AG448" s="259"/>
      <c r="AH448" s="259"/>
      <c r="AI448" s="259"/>
      <c r="AJ448" s="259"/>
      <c r="AK448" s="259"/>
      <c r="AL448" s="259"/>
      <c r="AM448" s="259"/>
      <c r="AN448" s="259"/>
      <c r="AO448" s="259"/>
    </row>
    <row r="449" spans="7:41" ht="12" x14ac:dyDescent="0.25">
      <c r="L449" s="114"/>
      <c r="M449" s="230"/>
      <c r="N449" s="146"/>
      <c r="O449" s="114"/>
      <c r="P449" s="114"/>
      <c r="Q449" s="114"/>
      <c r="R449" s="114"/>
      <c r="S449" s="114"/>
      <c r="T449" s="114"/>
      <c r="U449" s="114"/>
      <c r="V449" s="114"/>
      <c r="W449" s="114"/>
      <c r="Z449" s="146"/>
      <c r="AA449" s="146"/>
      <c r="AB449" s="146"/>
      <c r="AC449" s="146"/>
      <c r="AD449" s="259"/>
      <c r="AE449" s="259"/>
      <c r="AF449" s="259"/>
      <c r="AG449" s="259"/>
      <c r="AH449" s="259"/>
      <c r="AI449" s="259"/>
      <c r="AJ449" s="259"/>
      <c r="AK449" s="259"/>
      <c r="AL449" s="259"/>
      <c r="AM449" s="259"/>
      <c r="AN449" s="259"/>
      <c r="AO449" s="259"/>
    </row>
    <row r="450" spans="7:41" ht="12" x14ac:dyDescent="0.25">
      <c r="L450" s="114"/>
      <c r="M450" s="230"/>
      <c r="N450" s="146"/>
      <c r="O450" s="114"/>
      <c r="P450" s="114"/>
      <c r="Q450" s="114"/>
      <c r="R450" s="114"/>
      <c r="S450" s="114"/>
      <c r="T450" s="114"/>
      <c r="U450" s="114"/>
      <c r="V450" s="114"/>
      <c r="W450" s="114"/>
      <c r="Z450" s="146"/>
      <c r="AA450" s="146"/>
      <c r="AB450" s="146"/>
      <c r="AC450" s="146"/>
      <c r="AD450" s="259"/>
      <c r="AE450" s="259"/>
      <c r="AF450" s="259"/>
      <c r="AG450" s="259"/>
      <c r="AH450" s="259"/>
      <c r="AI450" s="259"/>
      <c r="AJ450" s="259"/>
      <c r="AK450" s="259"/>
      <c r="AL450" s="259"/>
      <c r="AM450" s="259"/>
      <c r="AN450" s="259"/>
      <c r="AO450" s="259"/>
    </row>
    <row r="451" spans="7:41" ht="12" x14ac:dyDescent="0.25">
      <c r="L451" s="114"/>
      <c r="M451" s="230"/>
      <c r="N451" s="146"/>
      <c r="O451" s="114"/>
      <c r="P451" s="114"/>
      <c r="Q451" s="114"/>
      <c r="R451" s="114"/>
      <c r="S451" s="114"/>
      <c r="T451" s="114"/>
      <c r="U451" s="114"/>
      <c r="V451" s="114"/>
      <c r="W451" s="114"/>
      <c r="Z451" s="146"/>
      <c r="AA451" s="146"/>
      <c r="AB451" s="146"/>
      <c r="AC451" s="146"/>
      <c r="AD451" s="259"/>
      <c r="AE451" s="259"/>
      <c r="AF451" s="259"/>
      <c r="AG451" s="259"/>
      <c r="AH451" s="259"/>
      <c r="AI451" s="259"/>
      <c r="AJ451" s="259"/>
      <c r="AK451" s="259"/>
      <c r="AL451" s="259"/>
      <c r="AM451" s="259"/>
      <c r="AN451" s="259"/>
      <c r="AO451" s="259"/>
    </row>
    <row r="452" spans="7:41" ht="12" x14ac:dyDescent="0.25">
      <c r="G452" s="45"/>
      <c r="H452" s="324"/>
      <c r="J452" s="45"/>
      <c r="L452" s="294"/>
      <c r="M452" s="326"/>
      <c r="N452" s="257"/>
      <c r="O452" s="294"/>
      <c r="P452" s="294"/>
      <c r="Q452" s="294"/>
      <c r="R452" s="294"/>
      <c r="S452" s="294"/>
      <c r="T452" s="294"/>
      <c r="U452" s="294"/>
      <c r="V452" s="294"/>
      <c r="W452" s="294"/>
      <c r="Z452" s="146"/>
      <c r="AA452" s="146"/>
      <c r="AB452" s="146"/>
      <c r="AC452" s="146"/>
      <c r="AD452" s="259"/>
      <c r="AE452" s="259"/>
      <c r="AF452" s="259"/>
      <c r="AG452" s="259"/>
      <c r="AH452" s="259"/>
      <c r="AI452" s="259"/>
      <c r="AJ452" s="259"/>
      <c r="AK452" s="259"/>
      <c r="AL452" s="259"/>
      <c r="AM452" s="259"/>
      <c r="AN452" s="259"/>
      <c r="AO452" s="259"/>
    </row>
    <row r="453" spans="7:41" ht="12" x14ac:dyDescent="0.25">
      <c r="L453" s="114"/>
      <c r="M453" s="230"/>
      <c r="N453" s="146"/>
      <c r="O453" s="114"/>
      <c r="P453" s="114"/>
      <c r="Q453" s="114"/>
      <c r="R453" s="114"/>
      <c r="S453" s="114"/>
      <c r="T453" s="114"/>
      <c r="U453" s="114"/>
      <c r="V453" s="114"/>
      <c r="W453" s="114"/>
      <c r="Z453" s="146"/>
      <c r="AA453" s="146"/>
      <c r="AB453" s="146"/>
      <c r="AC453" s="146"/>
      <c r="AD453" s="259"/>
      <c r="AE453" s="259"/>
      <c r="AF453" s="259"/>
      <c r="AG453" s="259"/>
      <c r="AH453" s="259"/>
      <c r="AI453" s="259"/>
      <c r="AJ453" s="259"/>
      <c r="AK453" s="259"/>
      <c r="AL453" s="259"/>
      <c r="AM453" s="259"/>
      <c r="AN453" s="259"/>
      <c r="AO453" s="259"/>
    </row>
    <row r="454" spans="7:41" ht="12" x14ac:dyDescent="0.25">
      <c r="G454" s="45"/>
      <c r="H454" s="324"/>
      <c r="J454" s="45"/>
      <c r="L454" s="294"/>
      <c r="M454" s="326"/>
      <c r="N454" s="257"/>
      <c r="O454" s="294"/>
      <c r="P454" s="294"/>
      <c r="Q454" s="294"/>
      <c r="R454" s="294"/>
      <c r="S454" s="294"/>
      <c r="T454" s="294"/>
      <c r="U454" s="294"/>
      <c r="V454" s="294"/>
      <c r="W454" s="294"/>
      <c r="Z454" s="146"/>
      <c r="AA454" s="146"/>
      <c r="AB454" s="146"/>
      <c r="AC454" s="146"/>
      <c r="AD454" s="259"/>
      <c r="AE454" s="259"/>
      <c r="AF454" s="259"/>
      <c r="AG454" s="259"/>
      <c r="AH454" s="259"/>
      <c r="AI454" s="259"/>
      <c r="AJ454" s="259"/>
      <c r="AK454" s="259"/>
      <c r="AL454" s="259"/>
      <c r="AM454" s="259"/>
      <c r="AN454" s="259"/>
      <c r="AO454" s="259"/>
    </row>
    <row r="455" spans="7:41" ht="12" x14ac:dyDescent="0.25">
      <c r="G455" s="133"/>
      <c r="K455" s="128"/>
      <c r="L455" s="114"/>
      <c r="M455" s="230"/>
      <c r="N455" s="146"/>
      <c r="O455" s="114"/>
      <c r="P455" s="114"/>
      <c r="Q455" s="114"/>
      <c r="R455" s="114"/>
      <c r="S455" s="114"/>
      <c r="T455" s="114"/>
      <c r="U455" s="114"/>
      <c r="V455" s="114"/>
      <c r="W455" s="114"/>
      <c r="Z455" s="146"/>
      <c r="AA455" s="146"/>
      <c r="AB455" s="146"/>
      <c r="AC455" s="146"/>
      <c r="AD455" s="259"/>
      <c r="AE455" s="259"/>
      <c r="AF455" s="259"/>
      <c r="AG455" s="259"/>
      <c r="AH455" s="259"/>
      <c r="AI455" s="259"/>
      <c r="AJ455" s="259"/>
      <c r="AK455" s="259"/>
      <c r="AL455" s="259"/>
      <c r="AM455" s="259"/>
      <c r="AN455" s="259"/>
      <c r="AO455" s="259"/>
    </row>
    <row r="456" spans="7:41" ht="12" x14ac:dyDescent="0.25">
      <c r="Z456" s="146"/>
      <c r="AA456" s="146"/>
      <c r="AB456" s="146"/>
      <c r="AC456" s="146"/>
      <c r="AD456" s="259"/>
      <c r="AE456" s="259"/>
      <c r="AF456" s="259"/>
      <c r="AG456" s="259"/>
      <c r="AH456" s="259"/>
      <c r="AI456" s="259"/>
      <c r="AJ456" s="259"/>
      <c r="AK456" s="259"/>
      <c r="AL456" s="259"/>
      <c r="AM456" s="259"/>
      <c r="AN456" s="259"/>
      <c r="AO456" s="259"/>
    </row>
    <row r="457" spans="7:41" ht="12" x14ac:dyDescent="0.25">
      <c r="AD457" s="259"/>
      <c r="AE457" s="259"/>
      <c r="AF457" s="259"/>
      <c r="AG457" s="259"/>
      <c r="AH457" s="259"/>
      <c r="AI457" s="259"/>
      <c r="AJ457" s="259"/>
      <c r="AK457" s="259"/>
      <c r="AL457" s="259"/>
      <c r="AM457" s="259"/>
      <c r="AN457" s="259"/>
      <c r="AO457" s="259"/>
    </row>
    <row r="458" spans="7:41" ht="12" x14ac:dyDescent="0.25">
      <c r="AD458" s="259"/>
      <c r="AE458" s="259"/>
      <c r="AF458" s="259"/>
      <c r="AG458" s="259"/>
      <c r="AH458" s="259"/>
      <c r="AI458" s="259"/>
      <c r="AJ458" s="259"/>
      <c r="AK458" s="259"/>
      <c r="AL458" s="259"/>
      <c r="AM458" s="259"/>
      <c r="AN458" s="259"/>
      <c r="AO458" s="259"/>
    </row>
    <row r="459" spans="7:41" ht="12" x14ac:dyDescent="0.25">
      <c r="L459" s="191"/>
      <c r="M459" s="250"/>
      <c r="U459" s="191"/>
      <c r="V459" s="191"/>
      <c r="W459" s="191"/>
      <c r="AD459" s="259"/>
      <c r="AE459" s="259"/>
      <c r="AF459" s="259"/>
      <c r="AG459" s="259"/>
      <c r="AH459" s="259"/>
      <c r="AI459" s="259"/>
      <c r="AJ459" s="259"/>
      <c r="AK459" s="259"/>
      <c r="AL459" s="259"/>
      <c r="AM459" s="259"/>
      <c r="AN459" s="259"/>
      <c r="AO459" s="259"/>
    </row>
    <row r="460" spans="7:41" ht="12" x14ac:dyDescent="0.25">
      <c r="AD460" s="259"/>
      <c r="AE460" s="259"/>
      <c r="AF460" s="259"/>
      <c r="AG460" s="259"/>
      <c r="AH460" s="259"/>
      <c r="AI460" s="259"/>
      <c r="AJ460" s="259"/>
      <c r="AK460" s="259"/>
      <c r="AL460" s="259"/>
      <c r="AM460" s="259"/>
      <c r="AN460" s="259"/>
      <c r="AO460" s="259"/>
    </row>
    <row r="461" spans="7:41" ht="12" x14ac:dyDescent="0.25">
      <c r="AD461" s="259"/>
      <c r="AE461" s="259"/>
      <c r="AF461" s="259"/>
      <c r="AG461" s="259"/>
      <c r="AH461" s="259"/>
      <c r="AI461" s="259"/>
      <c r="AJ461" s="259"/>
      <c r="AK461" s="259"/>
      <c r="AL461" s="259"/>
      <c r="AM461" s="259"/>
      <c r="AN461" s="259"/>
      <c r="AO461" s="259"/>
    </row>
  </sheetData>
  <mergeCells count="7">
    <mergeCell ref="AF146:AN146"/>
    <mergeCell ref="AF162:AN162"/>
    <mergeCell ref="AD50:AO50"/>
    <mergeCell ref="AF70:AN70"/>
    <mergeCell ref="AF86:AN86"/>
    <mergeCell ref="AF108:AN108"/>
    <mergeCell ref="AF124:AN124"/>
  </mergeCells>
  <conditionalFormatting sqref="L1:AU13 J14">
    <cfRule type="cellIs" dxfId="20" priority="71" stopIfTrue="1" operator="greaterThan">
      <formula>0.0001</formula>
    </cfRule>
    <cfRule type="cellIs" dxfId="19" priority="72" stopIfTrue="1" operator="lessThan">
      <formula>-0.0001</formula>
    </cfRule>
  </conditionalFormatting>
  <conditionalFormatting sqref="O54">
    <cfRule type="cellIs" dxfId="18" priority="54" operator="notEqual">
      <formula>0</formula>
    </cfRule>
  </conditionalFormatting>
  <conditionalFormatting sqref="O91">
    <cfRule type="cellIs" dxfId="17" priority="20" operator="notEqual">
      <formula>0</formula>
    </cfRule>
  </conditionalFormatting>
  <conditionalFormatting sqref="O128">
    <cfRule type="cellIs" dxfId="16" priority="17" operator="notEqual">
      <formula>0</formula>
    </cfRule>
  </conditionalFormatting>
  <conditionalFormatting sqref="O165">
    <cfRule type="cellIs" dxfId="15" priority="15" operator="notEqual">
      <formula>0</formula>
    </cfRule>
  </conditionalFormatting>
  <conditionalFormatting sqref="O202">
    <cfRule type="cellIs" dxfId="14" priority="11" operator="notEqual">
      <formula>0</formula>
    </cfRule>
  </conditionalFormatting>
  <conditionalFormatting sqref="O239">
    <cfRule type="cellIs" dxfId="13" priority="9" operator="notEqual">
      <formula>0</formula>
    </cfRule>
  </conditionalFormatting>
  <conditionalFormatting sqref="O276">
    <cfRule type="cellIs" dxfId="12" priority="7" operator="notEqual">
      <formula>0</formula>
    </cfRule>
  </conditionalFormatting>
  <conditionalFormatting sqref="O313">
    <cfRule type="cellIs" dxfId="11" priority="5" operator="notEqual">
      <formula>0</formula>
    </cfRule>
  </conditionalFormatting>
  <conditionalFormatting sqref="O350 O387">
    <cfRule type="cellIs" dxfId="10" priority="2" operator="notEqual">
      <formula>0</formula>
    </cfRule>
  </conditionalFormatting>
  <conditionalFormatting sqref="Q54:V54">
    <cfRule type="cellIs" dxfId="9" priority="37" operator="notEqual">
      <formula>0</formula>
    </cfRule>
  </conditionalFormatting>
  <conditionalFormatting sqref="Q91:V91">
    <cfRule type="cellIs" dxfId="8" priority="19" operator="notEqual">
      <formula>0</formula>
    </cfRule>
  </conditionalFormatting>
  <conditionalFormatting sqref="Q128:V128">
    <cfRule type="cellIs" dxfId="7" priority="16" operator="notEqual">
      <formula>0</formula>
    </cfRule>
  </conditionalFormatting>
  <conditionalFormatting sqref="Q165:V165">
    <cfRule type="cellIs" dxfId="6" priority="14" operator="notEqual">
      <formula>0</formula>
    </cfRule>
  </conditionalFormatting>
  <conditionalFormatting sqref="Q202:V202">
    <cfRule type="cellIs" dxfId="5" priority="10" operator="notEqual">
      <formula>0</formula>
    </cfRule>
  </conditionalFormatting>
  <conditionalFormatting sqref="Q239:V239">
    <cfRule type="cellIs" dxfId="4" priority="8" operator="notEqual">
      <formula>0</formula>
    </cfRule>
  </conditionalFormatting>
  <conditionalFormatting sqref="Q276:V276">
    <cfRule type="cellIs" dxfId="3" priority="6" operator="notEqual">
      <formula>0</formula>
    </cfRule>
  </conditionalFormatting>
  <conditionalFormatting sqref="Q313:V313">
    <cfRule type="cellIs" dxfId="2" priority="4" operator="notEqual">
      <formula>0</formula>
    </cfRule>
  </conditionalFormatting>
  <conditionalFormatting sqref="Q350:V350 Q387:V387">
    <cfRule type="cellIs" dxfId="1" priority="1" operator="notEqual">
      <formula>0</formula>
    </cfRule>
  </conditionalFormatting>
  <conditionalFormatting sqref="AF421:AF423">
    <cfRule type="cellIs" dxfId="0" priority="66" stopIfTrue="1" operator="notEqual">
      <formula>0</formula>
    </cfRule>
  </conditionalFormatting>
  <pageMargins left="0.75" right="0.75" top="1" bottom="1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2023</vt:lpstr>
      <vt:lpstr>2021_kopija</vt:lpstr>
      <vt:lpstr>PODATKI grafi</vt:lpstr>
    </vt:vector>
  </TitlesOfParts>
  <Company>Kmetijski inštitut Slovenije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Zagorc</dc:creator>
  <cp:lastModifiedBy>Barbara Zagorc</cp:lastModifiedBy>
  <cp:lastPrinted>2022-09-20T06:07:03Z</cp:lastPrinted>
  <dcterms:created xsi:type="dcterms:W3CDTF">2018-01-19T13:43:57Z</dcterms:created>
  <dcterms:modified xsi:type="dcterms:W3CDTF">2024-02-29T11:14:30Z</dcterms:modified>
</cp:coreProperties>
</file>