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theme/themeOverride1.xml" ContentType="application/vnd.openxmlformats-officedocument.themeOverrid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4_{649F0E70-8DBE-450B-88B7-1FAB4575F92C}" xr6:coauthVersionLast="47" xr6:coauthVersionMax="47" xr10:uidLastSave="{00000000-0000-0000-0000-000000000000}"/>
  <bookViews>
    <workbookView xWindow="38280" yWindow="-120" windowWidth="38640" windowHeight="21240" tabRatio="885" xr2:uid="{00000000-000D-0000-FFFF-FFFF00000000}"/>
  </bookViews>
  <sheets>
    <sheet name="2026" sheetId="7" r:id="rId1"/>
    <sheet name="PODATKI grafi" sheetId="3" state="hidden" r:id="rId2"/>
  </sheets>
  <definedNames>
    <definedName name="_xlnm._FilterDatabase" localSheetId="0" hidden="1">'2026'!$A$1:$A$158</definedName>
    <definedName name="_xlnm._FilterDatabase" localSheetId="1" hidden="1">'PODATKI grafi'!$I$52:$I$455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0" i="3" l="1"/>
  <c r="V43" i="3" l="1"/>
  <c r="V42" i="3"/>
  <c r="P420" i="3" l="1"/>
  <c r="J407" i="3" l="1"/>
  <c r="J406" i="3"/>
  <c r="J405" i="3"/>
  <c r="J404" i="3"/>
  <c r="J403" i="3"/>
  <c r="J402" i="3"/>
  <c r="J400" i="3"/>
  <c r="J399" i="3"/>
  <c r="J398" i="3"/>
  <c r="J397" i="3"/>
  <c r="J396" i="3"/>
  <c r="J395" i="3"/>
  <c r="J394" i="3"/>
  <c r="P383" i="3" l="1"/>
  <c r="J370" i="3" l="1"/>
  <c r="J369" i="3"/>
  <c r="J368" i="3"/>
  <c r="J367" i="3"/>
  <c r="J366" i="3"/>
  <c r="J365" i="3"/>
  <c r="J363" i="3"/>
  <c r="J362" i="3"/>
  <c r="J361" i="3"/>
  <c r="J360" i="3"/>
  <c r="J359" i="3"/>
  <c r="J358" i="3"/>
  <c r="J357" i="3"/>
  <c r="J333" i="3"/>
  <c r="J332" i="3"/>
  <c r="J331" i="3"/>
  <c r="J330" i="3"/>
  <c r="J329" i="3"/>
  <c r="J328" i="3"/>
  <c r="J326" i="3"/>
  <c r="J325" i="3"/>
  <c r="J324" i="3"/>
  <c r="J323" i="3"/>
  <c r="J322" i="3"/>
  <c r="J321" i="3"/>
  <c r="J320" i="3"/>
  <c r="J296" i="3"/>
  <c r="J295" i="3"/>
  <c r="J294" i="3"/>
  <c r="J293" i="3"/>
  <c r="J292" i="3"/>
  <c r="J291" i="3"/>
  <c r="J289" i="3"/>
  <c r="J288" i="3"/>
  <c r="J287" i="3"/>
  <c r="J286" i="3"/>
  <c r="J285" i="3"/>
  <c r="J284" i="3"/>
  <c r="J283" i="3"/>
  <c r="J259" i="3"/>
  <c r="J258" i="3"/>
  <c r="J257" i="3"/>
  <c r="J256" i="3"/>
  <c r="J255" i="3"/>
  <c r="J254" i="3"/>
  <c r="J252" i="3"/>
  <c r="J251" i="3"/>
  <c r="J250" i="3"/>
  <c r="J249" i="3"/>
  <c r="J248" i="3"/>
  <c r="J247" i="3"/>
  <c r="J246" i="3"/>
  <c r="H313" i="3"/>
  <c r="H314" i="3" s="1"/>
  <c r="H315" i="3" s="1"/>
  <c r="H316" i="3" s="1"/>
  <c r="H317" i="3" s="1"/>
  <c r="H318" i="3" s="1"/>
  <c r="H319" i="3" s="1"/>
  <c r="H320" i="3" s="1"/>
  <c r="H321" i="3" s="1"/>
  <c r="H322" i="3" s="1"/>
  <c r="H323" i="3" s="1"/>
  <c r="H324" i="3" s="1"/>
  <c r="H325" i="3" s="1"/>
  <c r="H326" i="3" s="1"/>
  <c r="H327" i="3" s="1"/>
  <c r="H328" i="3" s="1"/>
  <c r="H329" i="3" s="1"/>
  <c r="H330" i="3" s="1"/>
  <c r="H331" i="3" s="1"/>
  <c r="H332" i="3" s="1"/>
  <c r="H333" i="3" s="1"/>
  <c r="H334" i="3" s="1"/>
  <c r="H335" i="3" s="1"/>
  <c r="H336" i="3" s="1"/>
  <c r="H337" i="3" s="1"/>
  <c r="H338" i="3" s="1"/>
  <c r="H339" i="3" s="1"/>
  <c r="H340" i="3" s="1"/>
  <c r="H341" i="3" s="1"/>
  <c r="H342" i="3" s="1"/>
  <c r="H343" i="3" s="1"/>
  <c r="H344" i="3" s="1"/>
  <c r="H345" i="3" s="1"/>
  <c r="H346" i="3" s="1"/>
  <c r="H347" i="3" s="1"/>
  <c r="H348" i="3" s="1"/>
  <c r="H349" i="3" s="1"/>
  <c r="H276" i="3"/>
  <c r="H277" i="3" s="1"/>
  <c r="H278" i="3" s="1"/>
  <c r="H279" i="3" s="1"/>
  <c r="H280" i="3" s="1"/>
  <c r="H281" i="3" s="1"/>
  <c r="H282" i="3" s="1"/>
  <c r="H283" i="3" s="1"/>
  <c r="H284" i="3" s="1"/>
  <c r="H285" i="3" s="1"/>
  <c r="H286" i="3" s="1"/>
  <c r="H287" i="3" s="1"/>
  <c r="H288" i="3" s="1"/>
  <c r="H289" i="3" s="1"/>
  <c r="H290" i="3" s="1"/>
  <c r="H291" i="3" s="1"/>
  <c r="H292" i="3" s="1"/>
  <c r="H293" i="3" s="1"/>
  <c r="H294" i="3" s="1"/>
  <c r="H295" i="3" s="1"/>
  <c r="H296" i="3" s="1"/>
  <c r="H297" i="3" s="1"/>
  <c r="H298" i="3" s="1"/>
  <c r="H299" i="3" s="1"/>
  <c r="H300" i="3" s="1"/>
  <c r="H301" i="3" s="1"/>
  <c r="H302" i="3" s="1"/>
  <c r="H303" i="3" s="1"/>
  <c r="H304" i="3" s="1"/>
  <c r="H305" i="3" s="1"/>
  <c r="H306" i="3" s="1"/>
  <c r="H307" i="3" s="1"/>
  <c r="H308" i="3" s="1"/>
  <c r="H309" i="3" s="1"/>
  <c r="H310" i="3" s="1"/>
  <c r="H311" i="3" s="1"/>
  <c r="H312" i="3" s="1"/>
  <c r="J222" i="3"/>
  <c r="J221" i="3"/>
  <c r="J220" i="3"/>
  <c r="J219" i="3"/>
  <c r="J218" i="3"/>
  <c r="J217" i="3"/>
  <c r="J215" i="3"/>
  <c r="J214" i="3"/>
  <c r="J213" i="3"/>
  <c r="J212" i="3"/>
  <c r="J211" i="3"/>
  <c r="J210" i="3"/>
  <c r="J209" i="3"/>
  <c r="P199" i="3"/>
  <c r="P198" i="3"/>
  <c r="P161" i="3"/>
  <c r="H239" i="3"/>
  <c r="H240" i="3" s="1"/>
  <c r="H241" i="3" s="1"/>
  <c r="H242" i="3" s="1"/>
  <c r="H243" i="3" s="1"/>
  <c r="H244" i="3" s="1"/>
  <c r="H245" i="3" s="1"/>
  <c r="H246" i="3" s="1"/>
  <c r="H247" i="3" s="1"/>
  <c r="H248" i="3" s="1"/>
  <c r="H249" i="3" s="1"/>
  <c r="H250" i="3" s="1"/>
  <c r="H251" i="3" s="1"/>
  <c r="H252" i="3" s="1"/>
  <c r="H253" i="3" s="1"/>
  <c r="H254" i="3" s="1"/>
  <c r="H255" i="3" s="1"/>
  <c r="H256" i="3" s="1"/>
  <c r="H257" i="3" s="1"/>
  <c r="H258" i="3" s="1"/>
  <c r="H259" i="3" s="1"/>
  <c r="H260" i="3" s="1"/>
  <c r="H261" i="3" s="1"/>
  <c r="H262" i="3" s="1"/>
  <c r="H263" i="3" s="1"/>
  <c r="H264" i="3" s="1"/>
  <c r="H265" i="3" s="1"/>
  <c r="H266" i="3" s="1"/>
  <c r="H267" i="3" s="1"/>
  <c r="H268" i="3" s="1"/>
  <c r="H269" i="3" s="1"/>
  <c r="H270" i="3" s="1"/>
  <c r="H271" i="3" s="1"/>
  <c r="H272" i="3" s="1"/>
  <c r="H273" i="3" s="1"/>
  <c r="H274" i="3" s="1"/>
  <c r="H202" i="3"/>
  <c r="H203" i="3" s="1"/>
  <c r="H204" i="3" s="1"/>
  <c r="H205" i="3" s="1"/>
  <c r="H206" i="3" s="1"/>
  <c r="H207" i="3" s="1"/>
  <c r="H208" i="3" s="1"/>
  <c r="H209" i="3" s="1"/>
  <c r="H210" i="3" s="1"/>
  <c r="H211" i="3" s="1"/>
  <c r="H212" i="3" s="1"/>
  <c r="H213" i="3" s="1"/>
  <c r="H214" i="3" s="1"/>
  <c r="H215" i="3" s="1"/>
  <c r="H216" i="3" s="1"/>
  <c r="H217" i="3" s="1"/>
  <c r="H218" i="3" s="1"/>
  <c r="H219" i="3" s="1"/>
  <c r="H220" i="3" s="1"/>
  <c r="H221" i="3" s="1"/>
  <c r="H222" i="3" s="1"/>
  <c r="H223" i="3" s="1"/>
  <c r="H224" i="3" s="1"/>
  <c r="H225" i="3" s="1"/>
  <c r="H226" i="3" s="1"/>
  <c r="H227" i="3" s="1"/>
  <c r="H228" i="3" s="1"/>
  <c r="H229" i="3" s="1"/>
  <c r="H230" i="3" s="1"/>
  <c r="H231" i="3" s="1"/>
  <c r="H232" i="3" s="1"/>
  <c r="H233" i="3" s="1"/>
  <c r="H234" i="3" s="1"/>
  <c r="H235" i="3" s="1"/>
  <c r="H236" i="3" s="1"/>
  <c r="H237" i="3" s="1"/>
  <c r="H238" i="3" s="1"/>
  <c r="H165" i="3"/>
  <c r="H166" i="3" s="1"/>
  <c r="H167" i="3" s="1"/>
  <c r="H168" i="3" s="1"/>
  <c r="H169" i="3" s="1"/>
  <c r="H170" i="3" s="1"/>
  <c r="H171" i="3" s="1"/>
  <c r="H172" i="3" s="1"/>
  <c r="H173" i="3" s="1"/>
  <c r="H174" i="3" s="1"/>
  <c r="H175" i="3" s="1"/>
  <c r="H176" i="3" s="1"/>
  <c r="H177" i="3" s="1"/>
  <c r="H178" i="3" s="1"/>
  <c r="H179" i="3" s="1"/>
  <c r="H180" i="3" s="1"/>
  <c r="H181" i="3" s="1"/>
  <c r="H182" i="3" s="1"/>
  <c r="H183" i="3" s="1"/>
  <c r="H184" i="3" s="1"/>
  <c r="H185" i="3" s="1"/>
  <c r="H186" i="3" s="1"/>
  <c r="H187" i="3" s="1"/>
  <c r="H188" i="3" s="1"/>
  <c r="H189" i="3" s="1"/>
  <c r="H190" i="3" s="1"/>
  <c r="H191" i="3" s="1"/>
  <c r="H192" i="3" s="1"/>
  <c r="H193" i="3" s="1"/>
  <c r="H194" i="3" s="1"/>
  <c r="H195" i="3" s="1"/>
  <c r="H196" i="3" s="1"/>
  <c r="H197" i="3" s="1"/>
  <c r="H198" i="3" s="1"/>
  <c r="H199" i="3" s="1"/>
  <c r="H200" i="3" s="1"/>
  <c r="H201" i="3" s="1"/>
  <c r="H275" i="3" l="1"/>
  <c r="AF163" i="3" l="1"/>
  <c r="AF147" i="3"/>
  <c r="AF125" i="3"/>
  <c r="AF109" i="3"/>
  <c r="AF87" i="3"/>
  <c r="AF71" i="3"/>
  <c r="R129" i="3"/>
  <c r="S129" i="3"/>
  <c r="T129" i="3"/>
  <c r="U129" i="3"/>
  <c r="V129" i="3"/>
  <c r="Q129" i="3"/>
  <c r="R92" i="3"/>
  <c r="S92" i="3"/>
  <c r="T92" i="3"/>
  <c r="U92" i="3"/>
  <c r="V92" i="3"/>
  <c r="Q92" i="3"/>
  <c r="R55" i="3"/>
  <c r="S55" i="3"/>
  <c r="T55" i="3"/>
  <c r="U55" i="3"/>
  <c r="V55" i="3"/>
  <c r="Q55" i="3"/>
  <c r="J125" i="3"/>
  <c r="J162" i="3" s="1"/>
  <c r="J199" i="3" s="1"/>
  <c r="J236" i="3" s="1"/>
  <c r="J273" i="3" s="1"/>
  <c r="J310" i="3" s="1"/>
  <c r="J347" i="3" s="1"/>
  <c r="J384" i="3" s="1"/>
  <c r="J421" i="3" s="1"/>
  <c r="J113" i="3"/>
  <c r="J150" i="3" s="1"/>
  <c r="J187" i="3" s="1"/>
  <c r="J224" i="3" s="1"/>
  <c r="J261" i="3" s="1"/>
  <c r="J298" i="3" s="1"/>
  <c r="J335" i="3" s="1"/>
  <c r="J372" i="3" s="1"/>
  <c r="J409" i="3" s="1"/>
  <c r="J112" i="3"/>
  <c r="J149" i="3" s="1"/>
  <c r="J186" i="3" s="1"/>
  <c r="J223" i="3" s="1"/>
  <c r="J260" i="3" s="1"/>
  <c r="J297" i="3" s="1"/>
  <c r="J334" i="3" s="1"/>
  <c r="J371" i="3" s="1"/>
  <c r="J408" i="3" s="1"/>
  <c r="P162" i="3"/>
  <c r="J151" i="3"/>
  <c r="X133" i="3"/>
  <c r="Y133" i="3"/>
  <c r="Z133" i="3"/>
  <c r="AA133" i="3"/>
  <c r="AB133" i="3"/>
  <c r="AB131" i="3"/>
  <c r="AA131" i="3"/>
  <c r="Z131" i="3"/>
  <c r="Y131" i="3"/>
  <c r="X131" i="3"/>
  <c r="H128" i="3" l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H141" i="3" s="1"/>
  <c r="H142" i="3" s="1"/>
  <c r="H143" i="3" s="1"/>
  <c r="H144" i="3" s="1"/>
  <c r="H145" i="3" s="1"/>
  <c r="H146" i="3" s="1"/>
  <c r="H147" i="3" s="1"/>
  <c r="H148" i="3" s="1"/>
  <c r="H149" i="3" s="1"/>
  <c r="H150" i="3" s="1"/>
  <c r="H151" i="3" s="1"/>
  <c r="H152" i="3" s="1"/>
  <c r="H153" i="3" s="1"/>
  <c r="H154" i="3" s="1"/>
  <c r="H155" i="3" s="1"/>
  <c r="H156" i="3" s="1"/>
  <c r="H157" i="3" s="1"/>
  <c r="H158" i="3" s="1"/>
  <c r="H159" i="3" s="1"/>
  <c r="H160" i="3" s="1"/>
  <c r="H161" i="3" s="1"/>
  <c r="H162" i="3" s="1"/>
  <c r="H91" i="3"/>
  <c r="H92" i="3" s="1"/>
  <c r="H93" i="3" s="1"/>
  <c r="H94" i="3" s="1"/>
  <c r="H95" i="3" s="1"/>
  <c r="H96" i="3" s="1"/>
  <c r="H97" i="3" s="1"/>
  <c r="H98" i="3" s="1"/>
  <c r="H99" i="3" s="1"/>
  <c r="H100" i="3" s="1"/>
  <c r="H101" i="3" s="1"/>
  <c r="H102" i="3" s="1"/>
  <c r="H103" i="3" s="1"/>
  <c r="H104" i="3" s="1"/>
  <c r="H105" i="3" s="1"/>
  <c r="H106" i="3" s="1"/>
  <c r="H107" i="3" s="1"/>
  <c r="H108" i="3" s="1"/>
  <c r="H109" i="3" s="1"/>
  <c r="H110" i="3" s="1"/>
  <c r="H111" i="3" s="1"/>
  <c r="H112" i="3" s="1"/>
  <c r="H113" i="3" s="1"/>
  <c r="H114" i="3" s="1"/>
  <c r="H115" i="3" s="1"/>
  <c r="H116" i="3" s="1"/>
  <c r="H117" i="3" s="1"/>
  <c r="H118" i="3" s="1"/>
  <c r="H119" i="3" s="1"/>
  <c r="H120" i="3" s="1"/>
  <c r="H121" i="3" s="1"/>
  <c r="H122" i="3" s="1"/>
  <c r="H123" i="3" s="1"/>
  <c r="H124" i="3" s="1"/>
  <c r="H125" i="3" s="1"/>
  <c r="H54" i="3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H81" i="3" s="1"/>
  <c r="H82" i="3" s="1"/>
  <c r="H83" i="3" s="1"/>
  <c r="H84" i="3" s="1"/>
  <c r="H85" i="3" s="1"/>
  <c r="H86" i="3" s="1"/>
  <c r="H87" i="3" s="1"/>
  <c r="H88" i="3" s="1"/>
  <c r="J95" i="3"/>
  <c r="J132" i="3" s="1"/>
  <c r="J96" i="3"/>
  <c r="J133" i="3" s="1"/>
  <c r="J97" i="3"/>
  <c r="J134" i="3" s="1"/>
  <c r="J98" i="3"/>
  <c r="J135" i="3" s="1"/>
  <c r="J99" i="3"/>
  <c r="J136" i="3" s="1"/>
  <c r="J100" i="3"/>
  <c r="J137" i="3" s="1"/>
  <c r="J101" i="3"/>
  <c r="J138" i="3" s="1"/>
  <c r="J102" i="3"/>
  <c r="J139" i="3" s="1"/>
  <c r="J103" i="3"/>
  <c r="J140" i="3" s="1"/>
  <c r="J104" i="3"/>
  <c r="J141" i="3" s="1"/>
  <c r="J94" i="3"/>
  <c r="J131" i="3" s="1"/>
  <c r="H126" i="3" l="1"/>
  <c r="H127" i="3" s="1"/>
  <c r="H163" i="3"/>
  <c r="H164" i="3" s="1"/>
  <c r="H89" i="3"/>
  <c r="H90" i="3" s="1"/>
  <c r="P124" i="3" l="1"/>
  <c r="Y94" i="3"/>
  <c r="X94" i="3"/>
  <c r="AA94" i="3"/>
  <c r="AB94" i="3"/>
  <c r="Z94" i="3"/>
  <c r="O40" i="3" l="1"/>
  <c r="F167" i="3"/>
  <c r="R388" i="3" l="1"/>
  <c r="S388" i="3"/>
  <c r="T388" i="3"/>
  <c r="U388" i="3"/>
  <c r="V388" i="3"/>
  <c r="X388" i="3"/>
  <c r="Q388" i="3"/>
  <c r="F389" i="3"/>
  <c r="F352" i="3"/>
  <c r="F315" i="3"/>
  <c r="F278" i="3"/>
  <c r="F241" i="3"/>
  <c r="F130" i="3"/>
  <c r="F204" i="3"/>
  <c r="F93" i="3"/>
  <c r="O46" i="3"/>
  <c r="O45" i="3"/>
  <c r="O44" i="3"/>
  <c r="O43" i="3"/>
  <c r="O42" i="3"/>
  <c r="O39" i="3"/>
  <c r="O41" i="3"/>
  <c r="O38" i="3"/>
  <c r="O240" i="3" l="1"/>
  <c r="F56" i="3"/>
  <c r="O37" i="3"/>
  <c r="O277" i="3" l="1"/>
  <c r="O314" i="3"/>
  <c r="O351" i="3"/>
  <c r="O388" i="3"/>
  <c r="O55" i="3"/>
  <c r="O129" i="3"/>
  <c r="O92" i="3"/>
  <c r="O166" i="3"/>
  <c r="O203" i="3"/>
  <c r="O266" i="3" l="1"/>
  <c r="O262" i="3"/>
  <c r="O267" i="3" s="1"/>
  <c r="O273" i="3"/>
  <c r="G51" i="3"/>
  <c r="H51" i="3" s="1"/>
  <c r="I51" i="3" s="1"/>
  <c r="J51" i="3" s="1"/>
  <c r="K51" i="3" s="1"/>
  <c r="L51" i="3" s="1"/>
  <c r="M51" i="3" s="1"/>
  <c r="N51" i="3" s="1"/>
  <c r="O51" i="3" s="1"/>
  <c r="I54" i="3"/>
  <c r="I55" i="3" s="1"/>
  <c r="I56" i="3" s="1"/>
  <c r="I59" i="3" s="1"/>
  <c r="O56" i="3"/>
  <c r="S56" i="3" s="1"/>
  <c r="J68" i="3"/>
  <c r="J105" i="3" s="1"/>
  <c r="J142" i="3" s="1"/>
  <c r="J179" i="3" s="1"/>
  <c r="J216" i="3" s="1"/>
  <c r="J253" i="3" s="1"/>
  <c r="J290" i="3" s="1"/>
  <c r="J327" i="3" s="1"/>
  <c r="J364" i="3" s="1"/>
  <c r="J401" i="3" s="1"/>
  <c r="J69" i="3"/>
  <c r="J106" i="3" s="1"/>
  <c r="J143" i="3" s="1"/>
  <c r="J70" i="3"/>
  <c r="J107" i="3" s="1"/>
  <c r="J144" i="3" s="1"/>
  <c r="J71" i="3"/>
  <c r="J108" i="3" s="1"/>
  <c r="J145" i="3" s="1"/>
  <c r="J72" i="3"/>
  <c r="J109" i="3" s="1"/>
  <c r="J146" i="3" s="1"/>
  <c r="J73" i="3"/>
  <c r="J110" i="3" s="1"/>
  <c r="J147" i="3" s="1"/>
  <c r="J74" i="3"/>
  <c r="J111" i="3" s="1"/>
  <c r="J148" i="3" s="1"/>
  <c r="P87" i="3"/>
  <c r="K93" i="3"/>
  <c r="K99" i="3"/>
  <c r="K100" i="3"/>
  <c r="K101" i="3"/>
  <c r="K102" i="3"/>
  <c r="K103" i="3"/>
  <c r="K104" i="3"/>
  <c r="I165" i="3"/>
  <c r="I166" i="3" s="1"/>
  <c r="I167" i="3" s="1"/>
  <c r="I168" i="3" s="1"/>
  <c r="I169" i="3" s="1"/>
  <c r="I171" i="3" s="1"/>
  <c r="I172" i="3" s="1"/>
  <c r="I173" i="3" s="1"/>
  <c r="I174" i="3" s="1"/>
  <c r="I175" i="3" s="1"/>
  <c r="I176" i="3" s="1"/>
  <c r="I177" i="3" s="1"/>
  <c r="I178" i="3" s="1"/>
  <c r="K167" i="3"/>
  <c r="J172" i="3"/>
  <c r="J173" i="3"/>
  <c r="K173" i="3"/>
  <c r="J174" i="3"/>
  <c r="K174" i="3"/>
  <c r="J175" i="3"/>
  <c r="K175" i="3"/>
  <c r="J176" i="3"/>
  <c r="K176" i="3"/>
  <c r="J177" i="3"/>
  <c r="K177" i="3"/>
  <c r="J178" i="3"/>
  <c r="K178" i="3"/>
  <c r="J180" i="3"/>
  <c r="J181" i="3"/>
  <c r="J182" i="3"/>
  <c r="J183" i="3"/>
  <c r="J184" i="3"/>
  <c r="J185" i="3"/>
  <c r="K204" i="3"/>
  <c r="X205" i="3"/>
  <c r="Y205" i="3"/>
  <c r="Z205" i="3"/>
  <c r="K210" i="3"/>
  <c r="K211" i="3"/>
  <c r="K212" i="3"/>
  <c r="K213" i="3"/>
  <c r="K214" i="3"/>
  <c r="K215" i="3"/>
  <c r="P235" i="3"/>
  <c r="I128" i="3"/>
  <c r="I129" i="3" s="1"/>
  <c r="I130" i="3" s="1"/>
  <c r="K130" i="3"/>
  <c r="K136" i="3"/>
  <c r="K137" i="3"/>
  <c r="K138" i="3"/>
  <c r="K139" i="3"/>
  <c r="K140" i="3"/>
  <c r="K141" i="3"/>
  <c r="I239" i="3"/>
  <c r="I240" i="3" s="1"/>
  <c r="I241" i="3" s="1"/>
  <c r="K241" i="3"/>
  <c r="K247" i="3"/>
  <c r="K248" i="3"/>
  <c r="K249" i="3"/>
  <c r="K250" i="3"/>
  <c r="K251" i="3"/>
  <c r="K252" i="3"/>
  <c r="P272" i="3"/>
  <c r="I276" i="3"/>
  <c r="I277" i="3" s="1"/>
  <c r="I278" i="3" s="1"/>
  <c r="I279" i="3" s="1"/>
  <c r="I280" i="3" s="1"/>
  <c r="I282" i="3" s="1"/>
  <c r="I283" i="3" s="1"/>
  <c r="I284" i="3" s="1"/>
  <c r="I285" i="3" s="1"/>
  <c r="I286" i="3" s="1"/>
  <c r="I287" i="3" s="1"/>
  <c r="I288" i="3" s="1"/>
  <c r="I289" i="3" s="1"/>
  <c r="I290" i="3" s="1"/>
  <c r="I291" i="3" s="1"/>
  <c r="I292" i="3" s="1"/>
  <c r="I293" i="3" s="1"/>
  <c r="I294" i="3" s="1"/>
  <c r="I295" i="3" s="1"/>
  <c r="I296" i="3" s="1"/>
  <c r="I297" i="3" s="1"/>
  <c r="I298" i="3" s="1"/>
  <c r="K278" i="3"/>
  <c r="X279" i="3"/>
  <c r="Y279" i="3"/>
  <c r="K284" i="3"/>
  <c r="K285" i="3"/>
  <c r="K286" i="3"/>
  <c r="K287" i="3"/>
  <c r="K288" i="3"/>
  <c r="K289" i="3"/>
  <c r="P309" i="3"/>
  <c r="I313" i="3"/>
  <c r="I314" i="3" s="1"/>
  <c r="I315" i="3" s="1"/>
  <c r="K315" i="3"/>
  <c r="K321" i="3"/>
  <c r="K322" i="3"/>
  <c r="K323" i="3"/>
  <c r="K324" i="3"/>
  <c r="K325" i="3"/>
  <c r="K326" i="3"/>
  <c r="X345" i="3"/>
  <c r="Y345" i="3"/>
  <c r="P346" i="3"/>
  <c r="K352" i="3"/>
  <c r="Z353" i="3"/>
  <c r="AA353" i="3"/>
  <c r="K358" i="3"/>
  <c r="K359" i="3"/>
  <c r="K360" i="3"/>
  <c r="K361" i="3"/>
  <c r="K362" i="3"/>
  <c r="K363" i="3"/>
  <c r="K389" i="3"/>
  <c r="K395" i="3"/>
  <c r="K396" i="3"/>
  <c r="K397" i="3"/>
  <c r="K398" i="3"/>
  <c r="K399" i="3"/>
  <c r="K400" i="3"/>
  <c r="O275" i="3" l="1"/>
  <c r="O263" i="3"/>
  <c r="O264" i="3" s="1"/>
  <c r="O269" i="3" s="1"/>
  <c r="O270" i="3" s="1"/>
  <c r="S167" i="3"/>
  <c r="S93" i="3"/>
  <c r="I91" i="3"/>
  <c r="I92" i="3" s="1"/>
  <c r="I93" i="3" s="1"/>
  <c r="I98" i="3" s="1"/>
  <c r="I99" i="3" s="1"/>
  <c r="I100" i="3" s="1"/>
  <c r="I101" i="3" s="1"/>
  <c r="I102" i="3" s="1"/>
  <c r="I103" i="3" s="1"/>
  <c r="I104" i="3" s="1"/>
  <c r="I350" i="3"/>
  <c r="I351" i="3" s="1"/>
  <c r="I352" i="3" s="1"/>
  <c r="I353" i="3" s="1"/>
  <c r="I354" i="3" s="1"/>
  <c r="I355" i="3" s="1"/>
  <c r="I356" i="3" s="1"/>
  <c r="I357" i="3" s="1"/>
  <c r="I358" i="3" s="1"/>
  <c r="I359" i="3" s="1"/>
  <c r="I360" i="3" s="1"/>
  <c r="I361" i="3" s="1"/>
  <c r="I362" i="3" s="1"/>
  <c r="I363" i="3" s="1"/>
  <c r="I316" i="3"/>
  <c r="I317" i="3" s="1"/>
  <c r="I319" i="3" s="1"/>
  <c r="I320" i="3"/>
  <c r="I321" i="3" s="1"/>
  <c r="I322" i="3" s="1"/>
  <c r="I323" i="3" s="1"/>
  <c r="I324" i="3" s="1"/>
  <c r="I325" i="3" s="1"/>
  <c r="I326" i="3" s="1"/>
  <c r="I327" i="3" s="1"/>
  <c r="I328" i="3" s="1"/>
  <c r="I329" i="3" s="1"/>
  <c r="I330" i="3" s="1"/>
  <c r="I331" i="3" s="1"/>
  <c r="I332" i="3" s="1"/>
  <c r="I333" i="3" s="1"/>
  <c r="I334" i="3" s="1"/>
  <c r="I335" i="3" s="1"/>
  <c r="I336" i="3" s="1"/>
  <c r="I337" i="3" s="1"/>
  <c r="I338" i="3" s="1"/>
  <c r="I339" i="3" s="1"/>
  <c r="I340" i="3" s="1"/>
  <c r="I341" i="3" s="1"/>
  <c r="I342" i="3" s="1"/>
  <c r="I343" i="3" s="1"/>
  <c r="I344" i="3" s="1"/>
  <c r="I345" i="3" s="1"/>
  <c r="I346" i="3" s="1"/>
  <c r="I347" i="3" s="1"/>
  <c r="I348" i="3" s="1"/>
  <c r="I387" i="3"/>
  <c r="I388" i="3" s="1"/>
  <c r="I389" i="3" s="1"/>
  <c r="I390" i="3" s="1"/>
  <c r="I391" i="3" s="1"/>
  <c r="I392" i="3" s="1"/>
  <c r="I393" i="3" s="1"/>
  <c r="I394" i="3" s="1"/>
  <c r="I395" i="3" s="1"/>
  <c r="I396" i="3" s="1"/>
  <c r="I397" i="3" s="1"/>
  <c r="I398" i="3" s="1"/>
  <c r="I399" i="3" s="1"/>
  <c r="I400" i="3" s="1"/>
  <c r="I401" i="3" s="1"/>
  <c r="I402" i="3" s="1"/>
  <c r="I403" i="3" s="1"/>
  <c r="I404" i="3" s="1"/>
  <c r="I405" i="3" s="1"/>
  <c r="I406" i="3" s="1"/>
  <c r="I407" i="3" s="1"/>
  <c r="I408" i="3" s="1"/>
  <c r="I409" i="3" s="1"/>
  <c r="I242" i="3"/>
  <c r="I243" i="3" s="1"/>
  <c r="I245" i="3" s="1"/>
  <c r="I246" i="3"/>
  <c r="I247" i="3" s="1"/>
  <c r="I248" i="3" s="1"/>
  <c r="I249" i="3" s="1"/>
  <c r="I250" i="3" s="1"/>
  <c r="I251" i="3" s="1"/>
  <c r="I252" i="3" s="1"/>
  <c r="I253" i="3" s="1"/>
  <c r="I254" i="3" s="1"/>
  <c r="I255" i="3" s="1"/>
  <c r="I256" i="3" s="1"/>
  <c r="I257" i="3" s="1"/>
  <c r="I258" i="3" s="1"/>
  <c r="I259" i="3" s="1"/>
  <c r="I260" i="3" s="1"/>
  <c r="I135" i="3"/>
  <c r="I136" i="3" s="1"/>
  <c r="I137" i="3" s="1"/>
  <c r="I138" i="3" s="1"/>
  <c r="I139" i="3" s="1"/>
  <c r="I140" i="3" s="1"/>
  <c r="I141" i="3" s="1"/>
  <c r="I131" i="3"/>
  <c r="I132" i="3" s="1"/>
  <c r="I134" i="3" s="1"/>
  <c r="I57" i="3"/>
  <c r="I60" i="3" s="1"/>
  <c r="I62" i="3" s="1"/>
  <c r="I64" i="3" s="1"/>
  <c r="I66" i="3" s="1"/>
  <c r="I58" i="3"/>
  <c r="I61" i="3" s="1"/>
  <c r="I63" i="3" s="1"/>
  <c r="I65" i="3" s="1"/>
  <c r="I67" i="3" s="1"/>
  <c r="O268" i="3" l="1"/>
  <c r="I94" i="3"/>
  <c r="I95" i="3" s="1"/>
  <c r="I97" i="3" s="1"/>
  <c r="I202" i="3" l="1"/>
  <c r="I203" i="3" s="1"/>
  <c r="I204" i="3" s="1"/>
  <c r="I205" i="3" l="1"/>
  <c r="I206" i="3" s="1"/>
  <c r="I208" i="3" s="1"/>
  <c r="I209" i="3"/>
  <c r="I210" i="3" s="1"/>
  <c r="I211" i="3" s="1"/>
  <c r="I212" i="3" s="1"/>
  <c r="I213" i="3" s="1"/>
  <c r="I214" i="3" s="1"/>
  <c r="I215" i="3" s="1"/>
  <c r="I216" i="3" s="1"/>
  <c r="I217" i="3" s="1"/>
  <c r="I218" i="3" s="1"/>
  <c r="I219" i="3" s="1"/>
  <c r="I220" i="3" s="1"/>
  <c r="I221" i="3" s="1"/>
  <c r="I222" i="3" s="1"/>
  <c r="I223" i="3" s="1"/>
  <c r="I224" i="3" s="1"/>
  <c r="I225" i="3" s="1"/>
  <c r="I226" i="3" s="1"/>
  <c r="I227" i="3" s="1"/>
  <c r="I228" i="3" s="1"/>
  <c r="I229" i="3" s="1"/>
  <c r="I230" i="3" s="1"/>
  <c r="I231" i="3" s="1"/>
  <c r="I232" i="3" s="1"/>
  <c r="I233" i="3" s="1"/>
  <c r="I234" i="3" s="1"/>
  <c r="I235" i="3" s="1"/>
  <c r="I236" i="3" s="1"/>
  <c r="I237" i="3" s="1"/>
  <c r="O155" i="3" l="1"/>
  <c r="O151" i="3"/>
  <c r="O225" i="3"/>
  <c r="O229" i="3"/>
  <c r="O192" i="3"/>
  <c r="O118" i="3"/>
  <c r="O199" i="3"/>
  <c r="O201" i="3" s="1"/>
  <c r="O188" i="3" l="1"/>
  <c r="O236" i="3"/>
  <c r="O238" i="3" s="1"/>
  <c r="O88" i="3"/>
  <c r="O90" i="3" s="1"/>
  <c r="O125" i="3"/>
  <c r="O127" i="3" s="1"/>
  <c r="O162" i="3"/>
  <c r="O164" i="3" s="1"/>
  <c r="O81" i="3"/>
  <c r="M58" i="3"/>
  <c r="O114" i="3"/>
  <c r="O119" i="3" s="1"/>
  <c r="O138" i="3"/>
  <c r="O140" i="3" s="1"/>
  <c r="O141" i="3" s="1"/>
  <c r="O128" i="3" s="1"/>
  <c r="O64" i="3"/>
  <c r="O66" i="3" s="1"/>
  <c r="O67" i="3" s="1"/>
  <c r="O54" i="3" s="1"/>
  <c r="O77" i="3"/>
  <c r="O175" i="3"/>
  <c r="O177" i="3" s="1"/>
  <c r="O178" i="3" s="1"/>
  <c r="O165" i="3" s="1"/>
  <c r="O249" i="3"/>
  <c r="O251" i="3" s="1"/>
  <c r="O252" i="3" s="1"/>
  <c r="O239" i="3" s="1"/>
  <c r="O101" i="3"/>
  <c r="O103" i="3" s="1"/>
  <c r="O104" i="3" s="1"/>
  <c r="O91" i="3" s="1"/>
  <c r="O212" i="3"/>
  <c r="O214" i="3" s="1"/>
  <c r="O215" i="3" s="1"/>
  <c r="O202" i="3" s="1"/>
  <c r="O226" i="3" l="1"/>
  <c r="O227" i="3" s="1"/>
  <c r="O189" i="3"/>
  <c r="O190" i="3" s="1"/>
  <c r="O152" i="3"/>
  <c r="O153" i="3" s="1"/>
  <c r="O230" i="3"/>
  <c r="O156" i="3"/>
  <c r="O115" i="3"/>
  <c r="O116" i="3" s="1"/>
  <c r="O121" i="3" s="1"/>
  <c r="O122" i="3" s="1"/>
  <c r="O78" i="3"/>
  <c r="O79" i="3" s="1"/>
  <c r="O82" i="3"/>
  <c r="O193" i="3"/>
  <c r="O120" i="3" l="1"/>
  <c r="O83" i="3"/>
  <c r="O84" i="3"/>
  <c r="O85" i="3" s="1"/>
  <c r="O194" i="3"/>
  <c r="O195" i="3"/>
  <c r="O196" i="3" s="1"/>
  <c r="O232" i="3"/>
  <c r="O233" i="3" s="1"/>
  <c r="O231" i="3"/>
  <c r="O157" i="3"/>
  <c r="O158" i="3"/>
  <c r="O159" i="3" s="1"/>
  <c r="Z172" i="3" l="1"/>
  <c r="AA290" i="3"/>
  <c r="AA260" i="3"/>
  <c r="AA287" i="3"/>
  <c r="Z179" i="3"/>
  <c r="Z171" i="3"/>
  <c r="AA250" i="3"/>
  <c r="Z174" i="3"/>
  <c r="AA283" i="3"/>
  <c r="AA356" i="3"/>
  <c r="Z181" i="3"/>
  <c r="Z176" i="3"/>
  <c r="AA285" i="3"/>
  <c r="Z186" i="3"/>
  <c r="AA253" i="3"/>
  <c r="AB137" i="3" l="1"/>
  <c r="Z290" i="3"/>
  <c r="AB134" i="3"/>
  <c r="X322" i="3"/>
  <c r="X105" i="3"/>
  <c r="Q229" i="3"/>
  <c r="AB260" i="3"/>
  <c r="AB328" i="3"/>
  <c r="AA105" i="3"/>
  <c r="T229" i="3"/>
  <c r="Z105" i="3"/>
  <c r="X283" i="3"/>
  <c r="AB174" i="3"/>
  <c r="Y346" i="3"/>
  <c r="S192" i="3"/>
  <c r="Y287" i="3"/>
  <c r="Y97" i="3"/>
  <c r="Y137" i="3"/>
  <c r="AA322" i="3"/>
  <c r="X97" i="3"/>
  <c r="Y322" i="3"/>
  <c r="X287" i="3"/>
  <c r="AA137" i="3"/>
  <c r="V355" i="3"/>
  <c r="V377" i="3" s="1"/>
  <c r="X260" i="3"/>
  <c r="Z137" i="3"/>
  <c r="R88" i="3"/>
  <c r="AB329" i="3"/>
  <c r="S384" i="3"/>
  <c r="S386" i="3" s="1"/>
  <c r="Y260" i="3"/>
  <c r="Z213" i="3"/>
  <c r="X334" i="3"/>
  <c r="AA324" i="3"/>
  <c r="AA142" i="3"/>
  <c r="Y213" i="3"/>
  <c r="AA334" i="3"/>
  <c r="AB142" i="3"/>
  <c r="AB144" i="3"/>
  <c r="X171" i="3"/>
  <c r="X324" i="3"/>
  <c r="S118" i="3"/>
  <c r="AB179" i="3"/>
  <c r="T421" i="3"/>
  <c r="X172" i="3"/>
  <c r="AB172" i="3"/>
  <c r="Y334" i="3"/>
  <c r="X96" i="3"/>
  <c r="X331" i="3"/>
  <c r="AA179" i="3"/>
  <c r="AA172" i="3"/>
  <c r="AB102" i="3"/>
  <c r="X179" i="3"/>
  <c r="R310" i="3"/>
  <c r="Y172" i="3"/>
  <c r="Y179" i="3"/>
  <c r="Y60" i="3"/>
  <c r="Y72" i="3"/>
  <c r="U192" i="3"/>
  <c r="U392" i="3"/>
  <c r="U414" i="3" s="1"/>
  <c r="U421" i="3"/>
  <c r="U423" i="3" s="1"/>
  <c r="AB65" i="3"/>
  <c r="Y134" i="3"/>
  <c r="Y146" i="3"/>
  <c r="AB181" i="3"/>
  <c r="Z287" i="3"/>
  <c r="X106" i="3"/>
  <c r="Z149" i="3"/>
  <c r="V392" i="3"/>
  <c r="V414" i="3" s="1"/>
  <c r="R421" i="3"/>
  <c r="R423" i="3" s="1"/>
  <c r="X145" i="3"/>
  <c r="AA257" i="3"/>
  <c r="Y176" i="3"/>
  <c r="U310" i="3"/>
  <c r="S273" i="3"/>
  <c r="R192" i="3"/>
  <c r="V229" i="3"/>
  <c r="AA97" i="3"/>
  <c r="Z180" i="3"/>
  <c r="R392" i="3"/>
  <c r="R414" i="3" s="1"/>
  <c r="AA149" i="3"/>
  <c r="Y68" i="3"/>
  <c r="AA68" i="3"/>
  <c r="Z68" i="3"/>
  <c r="Y149" i="3"/>
  <c r="U273" i="3"/>
  <c r="AA292" i="3"/>
  <c r="AB171" i="3"/>
  <c r="X68" i="3"/>
  <c r="Z134" i="3"/>
  <c r="Q355" i="3"/>
  <c r="Q377" i="3" s="1"/>
  <c r="T384" i="3"/>
  <c r="T386" i="3" s="1"/>
  <c r="Y283" i="3"/>
  <c r="Y324" i="3"/>
  <c r="Z285" i="3"/>
  <c r="AB112" i="3"/>
  <c r="Q392" i="3"/>
  <c r="Q414" i="3" s="1"/>
  <c r="Z106" i="3"/>
  <c r="AA100" i="3"/>
  <c r="AA256" i="3"/>
  <c r="Z356" i="3"/>
  <c r="Z75" i="3"/>
  <c r="AA112" i="3"/>
  <c r="AB176" i="3"/>
  <c r="X181" i="3"/>
  <c r="X290" i="3"/>
  <c r="Z100" i="3"/>
  <c r="Z144" i="3"/>
  <c r="Q192" i="3"/>
  <c r="U229" i="3"/>
  <c r="Y98" i="3"/>
  <c r="R273" i="3"/>
  <c r="Y285" i="3"/>
  <c r="AB287" i="3"/>
  <c r="AB97" i="3"/>
  <c r="T192" i="3"/>
  <c r="Z184" i="3"/>
  <c r="Y211" i="3"/>
  <c r="X250" i="3"/>
  <c r="AA291" i="3"/>
  <c r="AA293" i="3"/>
  <c r="AB75" i="3"/>
  <c r="T392" i="3"/>
  <c r="T414" i="3" s="1"/>
  <c r="Z182" i="3"/>
  <c r="Y290" i="3"/>
  <c r="S421" i="3"/>
  <c r="X98" i="3"/>
  <c r="Z102" i="3"/>
  <c r="X102" i="3"/>
  <c r="X65" i="3"/>
  <c r="AA65" i="3"/>
  <c r="Z112" i="3"/>
  <c r="Y105" i="3"/>
  <c r="AA176" i="3"/>
  <c r="AA63" i="3"/>
  <c r="AB60" i="3"/>
  <c r="Z60" i="3"/>
  <c r="S155" i="3"/>
  <c r="X285" i="3"/>
  <c r="T88" i="3"/>
  <c r="Z63" i="3"/>
  <c r="Z135" i="3"/>
  <c r="AB105" i="3"/>
  <c r="O373" i="3"/>
  <c r="O378" i="3" s="1"/>
  <c r="O360" i="3"/>
  <c r="O362" i="3" s="1"/>
  <c r="O363" i="3" s="1"/>
  <c r="T125" i="3"/>
  <c r="Z113" i="3"/>
  <c r="Y111" i="3"/>
  <c r="U64" i="3"/>
  <c r="AA62" i="3"/>
  <c r="U77" i="3"/>
  <c r="R410" i="3"/>
  <c r="R397" i="3"/>
  <c r="R399" i="3" s="1"/>
  <c r="R400" i="3" s="1"/>
  <c r="Y181" i="3"/>
  <c r="O392" i="3"/>
  <c r="O414" i="3" s="1"/>
  <c r="Q81" i="3"/>
  <c r="X58" i="3"/>
  <c r="Q151" i="3"/>
  <c r="X136" i="3"/>
  <c r="Q138" i="3"/>
  <c r="X108" i="3"/>
  <c r="O410" i="3"/>
  <c r="O415" i="3" s="1"/>
  <c r="O397" i="3"/>
  <c r="O399" i="3" s="1"/>
  <c r="O400" i="3" s="1"/>
  <c r="V410" i="3"/>
  <c r="V397" i="3"/>
  <c r="V399" i="3" s="1"/>
  <c r="V400" i="3" s="1"/>
  <c r="U410" i="3"/>
  <c r="U397" i="3"/>
  <c r="U399" i="3" s="1"/>
  <c r="U400" i="3" s="1"/>
  <c r="S162" i="3"/>
  <c r="R138" i="3"/>
  <c r="Y136" i="3"/>
  <c r="R151" i="3"/>
  <c r="V64" i="3"/>
  <c r="AB62" i="3"/>
  <c r="V77" i="3"/>
  <c r="V138" i="3"/>
  <c r="AB136" i="3"/>
  <c r="V151" i="3"/>
  <c r="O355" i="3"/>
  <c r="O377" i="3" s="1"/>
  <c r="AB331" i="3"/>
  <c r="Z331" i="3"/>
  <c r="Y106" i="3"/>
  <c r="AA111" i="3"/>
  <c r="AA106" i="3"/>
  <c r="Q162" i="3"/>
  <c r="X150" i="3"/>
  <c r="AB111" i="3"/>
  <c r="AB106" i="3"/>
  <c r="Z139" i="3"/>
  <c r="X59" i="3"/>
  <c r="Q410" i="3"/>
  <c r="Q397" i="3"/>
  <c r="Q399" i="3" s="1"/>
  <c r="Q400" i="3" s="1"/>
  <c r="S77" i="3"/>
  <c r="S64" i="3"/>
  <c r="S66" i="3" s="1"/>
  <c r="S67" i="3" s="1"/>
  <c r="X99" i="3"/>
  <c r="Q114" i="3"/>
  <c r="Q101" i="3"/>
  <c r="V88" i="3"/>
  <c r="X75" i="3"/>
  <c r="Y62" i="3"/>
  <c r="R64" i="3"/>
  <c r="R77" i="3"/>
  <c r="O336" i="3"/>
  <c r="O323" i="3"/>
  <c r="O325" i="3" s="1"/>
  <c r="O326" i="3" s="1"/>
  <c r="O340" i="3"/>
  <c r="V421" i="3"/>
  <c r="T410" i="3"/>
  <c r="T397" i="3"/>
  <c r="T399" i="3" s="1"/>
  <c r="T400" i="3" s="1"/>
  <c r="Y63" i="3"/>
  <c r="Y132" i="3"/>
  <c r="R155" i="3"/>
  <c r="AB99" i="3"/>
  <c r="V101" i="3"/>
  <c r="V114" i="3"/>
  <c r="Z142" i="3"/>
  <c r="Z111" i="3"/>
  <c r="S88" i="3"/>
  <c r="Y59" i="3"/>
  <c r="V118" i="3"/>
  <c r="AB95" i="3"/>
  <c r="Z65" i="3"/>
  <c r="AA148" i="3"/>
  <c r="T155" i="3"/>
  <c r="Z132" i="3"/>
  <c r="S392" i="3"/>
  <c r="S414" i="3" s="1"/>
  <c r="S410" i="3"/>
  <c r="S397" i="3"/>
  <c r="S399" i="3" s="1"/>
  <c r="S400" i="3" s="1"/>
  <c r="AB100" i="3"/>
  <c r="Z74" i="3"/>
  <c r="AB132" i="3"/>
  <c r="V155" i="3"/>
  <c r="X112" i="3"/>
  <c r="AB58" i="3"/>
  <c r="V81" i="3"/>
  <c r="AB149" i="3"/>
  <c r="Z98" i="3"/>
  <c r="R101" i="3"/>
  <c r="R114" i="3"/>
  <c r="Y99" i="3"/>
  <c r="AA102" i="3"/>
  <c r="AA59" i="3"/>
  <c r="X137" i="3"/>
  <c r="Y243" i="3"/>
  <c r="R266" i="3"/>
  <c r="AA280" i="3"/>
  <c r="T303" i="3"/>
  <c r="R336" i="3"/>
  <c r="R323" i="3"/>
  <c r="Y321" i="3"/>
  <c r="X253" i="3"/>
  <c r="R229" i="3"/>
  <c r="X206" i="3"/>
  <c r="Y259" i="3"/>
  <c r="Y296" i="3"/>
  <c r="X332" i="3"/>
  <c r="R175" i="3"/>
  <c r="R188" i="3"/>
  <c r="Y173" i="3"/>
  <c r="V225" i="3"/>
  <c r="V212" i="3"/>
  <c r="V214" i="3" s="1"/>
  <c r="V215" i="3" s="1"/>
  <c r="X187" i="3"/>
  <c r="Q199" i="3"/>
  <c r="Z361" i="3"/>
  <c r="T225" i="3"/>
  <c r="T212" i="3"/>
  <c r="Z210" i="3"/>
  <c r="AB247" i="3"/>
  <c r="U262" i="3"/>
  <c r="U249" i="3"/>
  <c r="AA335" i="3"/>
  <c r="T347" i="3"/>
  <c r="V373" i="3"/>
  <c r="V360" i="3"/>
  <c r="V362" i="3" s="1"/>
  <c r="V363" i="3" s="1"/>
  <c r="U236" i="3"/>
  <c r="Q340" i="3"/>
  <c r="X317" i="3"/>
  <c r="V175" i="3"/>
  <c r="V177" i="3" s="1"/>
  <c r="V178" i="3" s="1"/>
  <c r="V188" i="3"/>
  <c r="Z211" i="3"/>
  <c r="Y335" i="3"/>
  <c r="R347" i="3"/>
  <c r="U199" i="3"/>
  <c r="AB187" i="3"/>
  <c r="S236" i="3"/>
  <c r="S238" i="3" s="1"/>
  <c r="T188" i="3"/>
  <c r="AA173" i="3"/>
  <c r="T175" i="3"/>
  <c r="X211" i="3"/>
  <c r="X320" i="3"/>
  <c r="AA254" i="3"/>
  <c r="AA331" i="3"/>
  <c r="AA294" i="3"/>
  <c r="X284" i="3"/>
  <c r="Q286" i="3"/>
  <c r="Q299" i="3"/>
  <c r="Y327" i="3"/>
  <c r="AB185" i="3"/>
  <c r="Z260" i="3"/>
  <c r="R373" i="3"/>
  <c r="R360" i="3"/>
  <c r="Z358" i="3"/>
  <c r="AA171" i="3"/>
  <c r="S299" i="3"/>
  <c r="Z284" i="3"/>
  <c r="S286" i="3"/>
  <c r="AA333" i="3"/>
  <c r="AB186" i="3"/>
  <c r="T273" i="3"/>
  <c r="T310" i="3"/>
  <c r="S138" i="3"/>
  <c r="S140" i="3" s="1"/>
  <c r="S141" i="3" s="1"/>
  <c r="S151" i="3"/>
  <c r="V125" i="3"/>
  <c r="AB113" i="3"/>
  <c r="U151" i="3"/>
  <c r="AA136" i="3"/>
  <c r="U138" i="3"/>
  <c r="T162" i="3"/>
  <c r="Z150" i="3"/>
  <c r="AB148" i="3"/>
  <c r="O421" i="3"/>
  <c r="O423" i="3" s="1"/>
  <c r="X111" i="3"/>
  <c r="AB68" i="3"/>
  <c r="AB135" i="3"/>
  <c r="U118" i="3"/>
  <c r="AA95" i="3"/>
  <c r="R118" i="3"/>
  <c r="Y95" i="3"/>
  <c r="Q155" i="3"/>
  <c r="X132" i="3"/>
  <c r="AA75" i="3"/>
  <c r="S101" i="3"/>
  <c r="S103" i="3" s="1"/>
  <c r="S104" i="3" s="1"/>
  <c r="S114" i="3"/>
  <c r="AB74" i="3"/>
  <c r="Y142" i="3"/>
  <c r="O347" i="3"/>
  <c r="O349" i="3" s="1"/>
  <c r="AA144" i="3"/>
  <c r="Y75" i="3"/>
  <c r="S125" i="3"/>
  <c r="Y74" i="3"/>
  <c r="Y144" i="3"/>
  <c r="Y148" i="3"/>
  <c r="Y102" i="3"/>
  <c r="Z96" i="3"/>
  <c r="X60" i="3"/>
  <c r="AB63" i="3"/>
  <c r="Y61" i="3"/>
  <c r="AA134" i="3"/>
  <c r="Z148" i="3"/>
  <c r="R212" i="3"/>
  <c r="R225" i="3"/>
  <c r="X210" i="3"/>
  <c r="S262" i="3"/>
  <c r="Z247" i="3"/>
  <c r="S249" i="3"/>
  <c r="U286" i="3"/>
  <c r="AB284" i="3"/>
  <c r="U299" i="3"/>
  <c r="Y333" i="3"/>
  <c r="Q249" i="3"/>
  <c r="X247" i="3"/>
  <c r="Q262" i="3"/>
  <c r="Z187" i="3"/>
  <c r="S199" i="3"/>
  <c r="Q236" i="3"/>
  <c r="Q238" i="3" s="1"/>
  <c r="Z259" i="3"/>
  <c r="Z296" i="3"/>
  <c r="Z243" i="3"/>
  <c r="S266" i="3"/>
  <c r="U303" i="3"/>
  <c r="AB280" i="3"/>
  <c r="S323" i="3"/>
  <c r="S336" i="3"/>
  <c r="Z321" i="3"/>
  <c r="AB321" i="3"/>
  <c r="X259" i="3"/>
  <c r="AB296" i="3"/>
  <c r="S373" i="3"/>
  <c r="S360" i="3"/>
  <c r="AA358" i="3"/>
  <c r="Z183" i="3"/>
  <c r="AA185" i="3"/>
  <c r="Q360" i="3"/>
  <c r="Q362" i="3" s="1"/>
  <c r="Q363" i="3" s="1"/>
  <c r="Q373" i="3"/>
  <c r="Z322" i="3"/>
  <c r="AB322" i="3"/>
  <c r="R384" i="3"/>
  <c r="R386" i="3" s="1"/>
  <c r="Y185" i="3"/>
  <c r="AB259" i="3"/>
  <c r="AB283" i="3"/>
  <c r="X327" i="3"/>
  <c r="U384" i="3"/>
  <c r="AA255" i="3"/>
  <c r="AA174" i="3"/>
  <c r="X213" i="3"/>
  <c r="AB250" i="3"/>
  <c r="X346" i="3"/>
  <c r="S340" i="3"/>
  <c r="Z317" i="3"/>
  <c r="AB317" i="3"/>
  <c r="Y174" i="3"/>
  <c r="Z250" i="3"/>
  <c r="S355" i="3"/>
  <c r="S377" i="3" s="1"/>
  <c r="AA354" i="3"/>
  <c r="Y171" i="3"/>
  <c r="S229" i="3"/>
  <c r="Y206" i="3"/>
  <c r="Z206" i="3"/>
  <c r="X243" i="3"/>
  <c r="Q266" i="3"/>
  <c r="Z280" i="3"/>
  <c r="S303" i="3"/>
  <c r="Q336" i="3"/>
  <c r="X321" i="3"/>
  <c r="Q323" i="3"/>
  <c r="Q325" i="3" s="1"/>
  <c r="Q326" i="3" s="1"/>
  <c r="AB96" i="3"/>
  <c r="R125" i="3"/>
  <c r="Y113" i="3"/>
  <c r="U88" i="3"/>
  <c r="AA139" i="3"/>
  <c r="AB61" i="3"/>
  <c r="Y135" i="3"/>
  <c r="U125" i="3"/>
  <c r="AA113" i="3"/>
  <c r="Q64" i="3"/>
  <c r="X62" i="3"/>
  <c r="Q77" i="3"/>
  <c r="X148" i="3"/>
  <c r="O303" i="3"/>
  <c r="Q421" i="3"/>
  <c r="AA96" i="3"/>
  <c r="Q88" i="3"/>
  <c r="AB98" i="3"/>
  <c r="R81" i="3"/>
  <c r="Y58" i="3"/>
  <c r="T138" i="3"/>
  <c r="Z136" i="3"/>
  <c r="T151" i="3"/>
  <c r="X144" i="3"/>
  <c r="AA60" i="3"/>
  <c r="T118" i="3"/>
  <c r="Z95" i="3"/>
  <c r="AB139" i="3"/>
  <c r="Z58" i="3"/>
  <c r="T81" i="3"/>
  <c r="Z59" i="3"/>
  <c r="U81" i="3"/>
  <c r="AA58" i="3"/>
  <c r="AA135" i="3"/>
  <c r="Q125" i="3"/>
  <c r="X113" i="3"/>
  <c r="AB59" i="3"/>
  <c r="R162" i="3"/>
  <c r="Y150" i="3"/>
  <c r="X280" i="3"/>
  <c r="Q303" i="3"/>
  <c r="AB320" i="3"/>
  <c r="Z320" i="3"/>
  <c r="Y253" i="3"/>
  <c r="X296" i="3"/>
  <c r="U266" i="3"/>
  <c r="AB243" i="3"/>
  <c r="T199" i="3"/>
  <c r="AA187" i="3"/>
  <c r="R236" i="3"/>
  <c r="S225" i="3"/>
  <c r="S212" i="3"/>
  <c r="Y210" i="3"/>
  <c r="T249" i="3"/>
  <c r="AA247" i="3"/>
  <c r="T262" i="3"/>
  <c r="AB333" i="3"/>
  <c r="Z333" i="3"/>
  <c r="R199" i="3"/>
  <c r="Y187" i="3"/>
  <c r="T340" i="3"/>
  <c r="AA317" i="3"/>
  <c r="U175" i="3"/>
  <c r="AB173" i="3"/>
  <c r="U188" i="3"/>
  <c r="X335" i="3"/>
  <c r="Q347" i="3"/>
  <c r="U360" i="3"/>
  <c r="U362" i="3" s="1"/>
  <c r="U363" i="3" s="1"/>
  <c r="U373" i="3"/>
  <c r="Y331" i="3"/>
  <c r="V236" i="3"/>
  <c r="R340" i="3"/>
  <c r="Y317" i="3"/>
  <c r="S188" i="3"/>
  <c r="S175" i="3"/>
  <c r="Z173" i="3"/>
  <c r="AB285" i="3"/>
  <c r="Z334" i="3"/>
  <c r="AB334" i="3"/>
  <c r="V199" i="3"/>
  <c r="V201" i="3" s="1"/>
  <c r="T236" i="3"/>
  <c r="AA320" i="3"/>
  <c r="U355" i="3"/>
  <c r="U377" i="3" s="1"/>
  <c r="AA181" i="3"/>
  <c r="Y186" i="3"/>
  <c r="Q273" i="3"/>
  <c r="Q310" i="3"/>
  <c r="Z283" i="3"/>
  <c r="AB324" i="3"/>
  <c r="Z324" i="3"/>
  <c r="S310" i="3"/>
  <c r="AA361" i="3"/>
  <c r="Q225" i="3"/>
  <c r="Q212" i="3"/>
  <c r="Q214" i="3" s="1"/>
  <c r="Q215" i="3" s="1"/>
  <c r="R262" i="3"/>
  <c r="R249" i="3"/>
  <c r="Y247" i="3"/>
  <c r="T299" i="3"/>
  <c r="AA284" i="3"/>
  <c r="T286" i="3"/>
  <c r="X333" i="3"/>
  <c r="O384" i="3"/>
  <c r="O386" i="3" s="1"/>
  <c r="O299" i="3"/>
  <c r="O286" i="3"/>
  <c r="O288" i="3" s="1"/>
  <c r="O289" i="3" s="1"/>
  <c r="U162" i="3"/>
  <c r="AA150" i="3"/>
  <c r="Y100" i="3"/>
  <c r="X135" i="3"/>
  <c r="T101" i="3"/>
  <c r="Z99" i="3"/>
  <c r="T114" i="3"/>
  <c r="AB150" i="3"/>
  <c r="V162" i="3"/>
  <c r="Z61" i="3"/>
  <c r="AA74" i="3"/>
  <c r="O310" i="3"/>
  <c r="T64" i="3"/>
  <c r="Z62" i="3"/>
  <c r="T77" i="3"/>
  <c r="AA61" i="3"/>
  <c r="X100" i="3"/>
  <c r="Y139" i="3"/>
  <c r="Q118" i="3"/>
  <c r="X95" i="3"/>
  <c r="Y96" i="3"/>
  <c r="AA98" i="3"/>
  <c r="X74" i="3"/>
  <c r="X134" i="3"/>
  <c r="X149" i="3"/>
  <c r="AA99" i="3"/>
  <c r="U114" i="3"/>
  <c r="U101" i="3"/>
  <c r="X61" i="3"/>
  <c r="X142" i="3"/>
  <c r="X63" i="3"/>
  <c r="Y65" i="3"/>
  <c r="U155" i="3"/>
  <c r="AA132" i="3"/>
  <c r="Y112" i="3"/>
  <c r="X139" i="3"/>
  <c r="Z97" i="3"/>
  <c r="S81" i="3"/>
  <c r="Y284" i="3"/>
  <c r="R286" i="3"/>
  <c r="R299" i="3"/>
  <c r="AB327" i="3"/>
  <c r="Z327" i="3"/>
  <c r="AA186" i="3"/>
  <c r="Q188" i="3"/>
  <c r="Q175" i="3"/>
  <c r="X173" i="3"/>
  <c r="U225" i="3"/>
  <c r="U212" i="3"/>
  <c r="U214" i="3" s="1"/>
  <c r="U215" i="3" s="1"/>
  <c r="Q384" i="3"/>
  <c r="Q386" i="3" s="1"/>
  <c r="AB253" i="3"/>
  <c r="R355" i="3"/>
  <c r="R377" i="3" s="1"/>
  <c r="Z354" i="3"/>
  <c r="AA243" i="3"/>
  <c r="T266" i="3"/>
  <c r="Z185" i="3"/>
  <c r="T373" i="3"/>
  <c r="T360" i="3"/>
  <c r="T362" i="3" s="1"/>
  <c r="T363" i="3" s="1"/>
  <c r="X185" i="3"/>
  <c r="AA258" i="3"/>
  <c r="AA259" i="3"/>
  <c r="AA295" i="3"/>
  <c r="AA296" i="3"/>
  <c r="V192" i="3"/>
  <c r="AA327" i="3"/>
  <c r="V384" i="3"/>
  <c r="X186" i="3"/>
  <c r="Y320" i="3"/>
  <c r="X174" i="3"/>
  <c r="Y250" i="3"/>
  <c r="AB335" i="3"/>
  <c r="S347" i="3"/>
  <c r="Z335" i="3"/>
  <c r="R303" i="3"/>
  <c r="Y280" i="3"/>
  <c r="T323" i="3"/>
  <c r="AA321" i="3"/>
  <c r="T336" i="3"/>
  <c r="X176" i="3"/>
  <c r="Z253" i="3"/>
  <c r="AB290" i="3"/>
  <c r="T355" i="3"/>
  <c r="T377" i="3" s="1"/>
  <c r="Z328" i="3" l="1"/>
  <c r="Y328" i="3"/>
  <c r="R37" i="3"/>
  <c r="V386" i="3"/>
  <c r="Y69" i="3"/>
  <c r="Y329" i="3"/>
  <c r="X291" i="3"/>
  <c r="AB291" i="3"/>
  <c r="Y73" i="3"/>
  <c r="AA328" i="3"/>
  <c r="X328" i="3"/>
  <c r="AB146" i="3"/>
  <c r="X146" i="3"/>
  <c r="Z146" i="3"/>
  <c r="AB72" i="3"/>
  <c r="Z72" i="3"/>
  <c r="AA146" i="3"/>
  <c r="X72" i="3"/>
  <c r="U275" i="3"/>
  <c r="T423" i="3"/>
  <c r="Y71" i="3"/>
  <c r="Z69" i="3"/>
  <c r="X69" i="3"/>
  <c r="AB69" i="3"/>
  <c r="AA69" i="3"/>
  <c r="X107" i="3"/>
  <c r="S46" i="3"/>
  <c r="R90" i="3"/>
  <c r="X180" i="3"/>
  <c r="X70" i="3"/>
  <c r="AA330" i="3"/>
  <c r="O312" i="3"/>
  <c r="R39" i="3"/>
  <c r="Y256" i="3"/>
  <c r="Z145" i="3"/>
  <c r="AB145" i="3"/>
  <c r="AA145" i="3"/>
  <c r="S164" i="3"/>
  <c r="AB294" i="3"/>
  <c r="X329" i="3"/>
  <c r="Z329" i="3"/>
  <c r="U386" i="3"/>
  <c r="Y145" i="3"/>
  <c r="Z147" i="3"/>
  <c r="Y292" i="3"/>
  <c r="Y180" i="3"/>
  <c r="AA329" i="3"/>
  <c r="S275" i="3"/>
  <c r="U164" i="3"/>
  <c r="R46" i="3"/>
  <c r="Z291" i="3"/>
  <c r="AB180" i="3"/>
  <c r="Z108" i="3"/>
  <c r="U312" i="3"/>
  <c r="X109" i="3"/>
  <c r="AA72" i="3"/>
  <c r="U43" i="3"/>
  <c r="X293" i="3"/>
  <c r="X71" i="3"/>
  <c r="AA180" i="3"/>
  <c r="Y294" i="3"/>
  <c r="AB257" i="3"/>
  <c r="T90" i="3"/>
  <c r="AB147" i="3"/>
  <c r="U41" i="3"/>
  <c r="X257" i="3"/>
  <c r="X73" i="3"/>
  <c r="Z73" i="3"/>
  <c r="Z257" i="3"/>
  <c r="Y257" i="3"/>
  <c r="R312" i="3"/>
  <c r="AA73" i="3"/>
  <c r="AB73" i="3"/>
  <c r="R43" i="3"/>
  <c r="X110" i="3"/>
  <c r="Y291" i="3"/>
  <c r="AB293" i="3"/>
  <c r="AA143" i="3"/>
  <c r="AA147" i="3"/>
  <c r="R127" i="3"/>
  <c r="X256" i="3"/>
  <c r="Y70" i="3"/>
  <c r="Q127" i="3"/>
  <c r="Z292" i="3"/>
  <c r="X292" i="3"/>
  <c r="AB292" i="3"/>
  <c r="AA108" i="3"/>
  <c r="X147" i="3"/>
  <c r="AA182" i="3"/>
  <c r="Z256" i="3"/>
  <c r="V127" i="3"/>
  <c r="AB256" i="3"/>
  <c r="AB109" i="3"/>
  <c r="Y332" i="3"/>
  <c r="AA109" i="3"/>
  <c r="R201" i="3"/>
  <c r="Z70" i="3"/>
  <c r="Z294" i="3"/>
  <c r="AA70" i="3"/>
  <c r="Z71" i="3"/>
  <c r="AB108" i="3"/>
  <c r="Z110" i="3"/>
  <c r="AB254" i="3"/>
  <c r="Z293" i="3"/>
  <c r="Y293" i="3"/>
  <c r="AB255" i="3"/>
  <c r="AA183" i="3"/>
  <c r="X255" i="3"/>
  <c r="Z254" i="3"/>
  <c r="AA110" i="3"/>
  <c r="S423" i="3"/>
  <c r="R275" i="3"/>
  <c r="AB110" i="3"/>
  <c r="AB182" i="3"/>
  <c r="Z143" i="3"/>
  <c r="Y184" i="3"/>
  <c r="AB107" i="3"/>
  <c r="X143" i="3"/>
  <c r="Z107" i="3"/>
  <c r="Y182" i="3"/>
  <c r="X182" i="3"/>
  <c r="AA184" i="3"/>
  <c r="Y143" i="3"/>
  <c r="X184" i="3"/>
  <c r="AB143" i="3"/>
  <c r="AA107" i="3"/>
  <c r="AB184" i="3"/>
  <c r="T201" i="3"/>
  <c r="AA332" i="3"/>
  <c r="O374" i="3"/>
  <c r="O375" i="3" s="1"/>
  <c r="O380" i="3" s="1"/>
  <c r="O381" i="3" s="1"/>
  <c r="O411" i="3"/>
  <c r="O412" i="3" s="1"/>
  <c r="O417" i="3" s="1"/>
  <c r="O418" i="3" s="1"/>
  <c r="Z109" i="3"/>
  <c r="Y254" i="3"/>
  <c r="Y109" i="3"/>
  <c r="Y147" i="3"/>
  <c r="X254" i="3"/>
  <c r="AB70" i="3"/>
  <c r="Y183" i="3"/>
  <c r="V37" i="3"/>
  <c r="S349" i="3"/>
  <c r="Y347" i="3"/>
  <c r="T341" i="3"/>
  <c r="T337" i="3"/>
  <c r="T338" i="3" s="1"/>
  <c r="X258" i="3"/>
  <c r="Q45" i="3"/>
  <c r="X175" i="3"/>
  <c r="Q177" i="3"/>
  <c r="U115" i="3"/>
  <c r="U116" i="3" s="1"/>
  <c r="U119" i="3"/>
  <c r="T66" i="3"/>
  <c r="Z64" i="3"/>
  <c r="V39" i="3"/>
  <c r="V164" i="3"/>
  <c r="T103" i="3"/>
  <c r="Z101" i="3"/>
  <c r="R267" i="3"/>
  <c r="R263" i="3"/>
  <c r="R264" i="3" s="1"/>
  <c r="S43" i="3"/>
  <c r="S312" i="3"/>
  <c r="Q43" i="3"/>
  <c r="Q312" i="3"/>
  <c r="T41" i="3"/>
  <c r="T238" i="3"/>
  <c r="Z188" i="3"/>
  <c r="S189" i="3"/>
  <c r="S190" i="3" s="1"/>
  <c r="S193" i="3"/>
  <c r="Q44" i="3"/>
  <c r="Q349" i="3"/>
  <c r="AB175" i="3"/>
  <c r="U177" i="3"/>
  <c r="Q41" i="3"/>
  <c r="Q337" i="3"/>
  <c r="Q338" i="3" s="1"/>
  <c r="Q341" i="3"/>
  <c r="Z258" i="3"/>
  <c r="Q378" i="3"/>
  <c r="Q374" i="3"/>
  <c r="Q375" i="3" s="1"/>
  <c r="X323" i="3"/>
  <c r="S325" i="3"/>
  <c r="AB323" i="3"/>
  <c r="Z323" i="3"/>
  <c r="Q267" i="3"/>
  <c r="Q263" i="3"/>
  <c r="Q264" i="3" s="1"/>
  <c r="U304" i="3"/>
  <c r="U300" i="3"/>
  <c r="U301" i="3" s="1"/>
  <c r="R214" i="3"/>
  <c r="R215" i="3" s="1"/>
  <c r="X212" i="3"/>
  <c r="S127" i="3"/>
  <c r="AA138" i="3"/>
  <c r="U140" i="3"/>
  <c r="R362" i="3"/>
  <c r="Z360" i="3"/>
  <c r="X183" i="3"/>
  <c r="U238" i="3"/>
  <c r="Q201" i="3"/>
  <c r="Y258" i="3"/>
  <c r="R341" i="3"/>
  <c r="R337" i="3"/>
  <c r="X336" i="3"/>
  <c r="R78" i="3"/>
  <c r="R79" i="3" s="1"/>
  <c r="R82" i="3"/>
  <c r="V90" i="3"/>
  <c r="V78" i="3"/>
  <c r="V79" i="3" s="1"/>
  <c r="V82" i="3"/>
  <c r="U411" i="3"/>
  <c r="U412" i="3" s="1"/>
  <c r="U415" i="3"/>
  <c r="V411" i="3"/>
  <c r="V412" i="3" s="1"/>
  <c r="V415" i="3"/>
  <c r="Q152" i="3"/>
  <c r="Q153" i="3" s="1"/>
  <c r="Q156" i="3"/>
  <c r="Y108" i="3"/>
  <c r="T127" i="3"/>
  <c r="U230" i="3"/>
  <c r="U226" i="3"/>
  <c r="X188" i="3"/>
  <c r="Q189" i="3"/>
  <c r="Q190" i="3" s="1"/>
  <c r="Q193" i="3"/>
  <c r="T304" i="3"/>
  <c r="T300" i="3"/>
  <c r="Q42" i="3"/>
  <c r="Q275" i="3"/>
  <c r="X295" i="3"/>
  <c r="T267" i="3"/>
  <c r="T263" i="3"/>
  <c r="T264" i="3" s="1"/>
  <c r="S214" i="3"/>
  <c r="S215" i="3" s="1"/>
  <c r="Y212" i="3"/>
  <c r="V40" i="3"/>
  <c r="T156" i="3"/>
  <c r="T152" i="3"/>
  <c r="T153" i="3" s="1"/>
  <c r="Q82" i="3"/>
  <c r="Q78" i="3"/>
  <c r="Q79" i="3" s="1"/>
  <c r="U38" i="3"/>
  <c r="U127" i="3"/>
  <c r="U90" i="3"/>
  <c r="T45" i="3"/>
  <c r="Y255" i="3"/>
  <c r="S267" i="3"/>
  <c r="S263" i="3"/>
  <c r="S264" i="3" s="1"/>
  <c r="S156" i="3"/>
  <c r="S152" i="3"/>
  <c r="S304" i="3"/>
  <c r="S300" i="3"/>
  <c r="S301" i="3" s="1"/>
  <c r="R378" i="3"/>
  <c r="R374" i="3"/>
  <c r="R375" i="3" s="1"/>
  <c r="U40" i="3"/>
  <c r="T177" i="3"/>
  <c r="T178" i="3" s="1"/>
  <c r="AA175" i="3"/>
  <c r="U251" i="3"/>
  <c r="AB249" i="3"/>
  <c r="T214" i="3"/>
  <c r="T215" i="3" s="1"/>
  <c r="Z212" i="3"/>
  <c r="R193" i="3"/>
  <c r="R189" i="3"/>
  <c r="R190" i="3" s="1"/>
  <c r="Y188" i="3"/>
  <c r="AB332" i="3"/>
  <c r="Z332" i="3"/>
  <c r="R40" i="3"/>
  <c r="X294" i="3"/>
  <c r="S411" i="3"/>
  <c r="S412" i="3" s="1"/>
  <c r="S415" i="3"/>
  <c r="S90" i="3"/>
  <c r="V115" i="3"/>
  <c r="V116" i="3" s="1"/>
  <c r="V119" i="3"/>
  <c r="Y64" i="3"/>
  <c r="R66" i="3"/>
  <c r="V152" i="3"/>
  <c r="V153" i="3" s="1"/>
  <c r="V156" i="3"/>
  <c r="R140" i="3"/>
  <c r="Y138" i="3"/>
  <c r="Q39" i="3"/>
  <c r="R411" i="3"/>
  <c r="R412" i="3" s="1"/>
  <c r="R415" i="3"/>
  <c r="U78" i="3"/>
  <c r="U79" i="3" s="1"/>
  <c r="U82" i="3"/>
  <c r="Y107" i="3"/>
  <c r="AB71" i="3"/>
  <c r="Z330" i="3"/>
  <c r="AB330" i="3"/>
  <c r="U46" i="3"/>
  <c r="T378" i="3"/>
  <c r="T374" i="3"/>
  <c r="T375" i="3" s="1"/>
  <c r="R304" i="3"/>
  <c r="R300" i="3"/>
  <c r="R301" i="3" s="1"/>
  <c r="T82" i="3"/>
  <c r="T78" i="3"/>
  <c r="T79" i="3" s="1"/>
  <c r="T115" i="3"/>
  <c r="T116" i="3" s="1"/>
  <c r="T119" i="3"/>
  <c r="Q226" i="3"/>
  <c r="Q227" i="3" s="1"/>
  <c r="Q230" i="3"/>
  <c r="U374" i="3"/>
  <c r="U375" i="3" s="1"/>
  <c r="U378" i="3"/>
  <c r="U193" i="3"/>
  <c r="AB188" i="3"/>
  <c r="U189" i="3"/>
  <c r="U190" i="3" s="1"/>
  <c r="S230" i="3"/>
  <c r="S226" i="3"/>
  <c r="S227" i="3" s="1"/>
  <c r="R164" i="3"/>
  <c r="Q46" i="3"/>
  <c r="Q423" i="3"/>
  <c r="AB258" i="3"/>
  <c r="S362" i="3"/>
  <c r="AA360" i="3"/>
  <c r="AB183" i="3"/>
  <c r="S201" i="3"/>
  <c r="Q251" i="3"/>
  <c r="X249" i="3"/>
  <c r="U288" i="3"/>
  <c r="AB286" i="3"/>
  <c r="S115" i="3"/>
  <c r="S116" i="3" s="1"/>
  <c r="S119" i="3"/>
  <c r="U156" i="3"/>
  <c r="U152" i="3"/>
  <c r="U153" i="3" s="1"/>
  <c r="T312" i="3"/>
  <c r="Q300" i="3"/>
  <c r="Q301" i="3" s="1"/>
  <c r="Q304" i="3"/>
  <c r="U201" i="3"/>
  <c r="V193" i="3"/>
  <c r="V189" i="3"/>
  <c r="V374" i="3"/>
  <c r="V375" i="3" s="1"/>
  <c r="V378" i="3"/>
  <c r="U263" i="3"/>
  <c r="U264" i="3" s="1"/>
  <c r="U267" i="3"/>
  <c r="T230" i="3"/>
  <c r="T226" i="3"/>
  <c r="R177" i="3"/>
  <c r="Y175" i="3"/>
  <c r="X330" i="3"/>
  <c r="R115" i="3"/>
  <c r="R116" i="3" s="1"/>
  <c r="R119" i="3"/>
  <c r="AB101" i="3"/>
  <c r="V103" i="3"/>
  <c r="T411" i="3"/>
  <c r="T412" i="3" s="1"/>
  <c r="T415" i="3"/>
  <c r="X101" i="3"/>
  <c r="Q103" i="3"/>
  <c r="S82" i="3"/>
  <c r="S78" i="3"/>
  <c r="S79" i="3" s="1"/>
  <c r="R45" i="3"/>
  <c r="AA71" i="3"/>
  <c r="Q411" i="3"/>
  <c r="Q412" i="3" s="1"/>
  <c r="Q415" i="3"/>
  <c r="S39" i="3"/>
  <c r="AB64" i="3"/>
  <c r="V66" i="3"/>
  <c r="Z295" i="3"/>
  <c r="X138" i="3"/>
  <c r="Q140" i="3"/>
  <c r="Y110" i="3"/>
  <c r="T37" i="3"/>
  <c r="T325" i="3"/>
  <c r="AA323" i="3"/>
  <c r="Q37" i="3"/>
  <c r="R38" i="3"/>
  <c r="AB295" i="3"/>
  <c r="R288" i="3"/>
  <c r="Y286" i="3"/>
  <c r="Y295" i="3"/>
  <c r="U103" i="3"/>
  <c r="AA101" i="3"/>
  <c r="O304" i="3"/>
  <c r="O300" i="3"/>
  <c r="O301" i="3" s="1"/>
  <c r="T288" i="3"/>
  <c r="AA286" i="3"/>
  <c r="R251" i="3"/>
  <c r="Y249" i="3"/>
  <c r="S177" i="3"/>
  <c r="Z175" i="3"/>
  <c r="V41" i="3"/>
  <c r="V238" i="3"/>
  <c r="Y348" i="3"/>
  <c r="T251" i="3"/>
  <c r="AA249" i="3"/>
  <c r="R238" i="3"/>
  <c r="Y330" i="3"/>
  <c r="T140" i="3"/>
  <c r="Z138" i="3"/>
  <c r="Q90" i="3"/>
  <c r="X64" i="3"/>
  <c r="Q66" i="3"/>
  <c r="U45" i="3"/>
  <c r="S378" i="3"/>
  <c r="S374" i="3"/>
  <c r="S375" i="3" s="1"/>
  <c r="S337" i="3"/>
  <c r="S341" i="3"/>
  <c r="Y336" i="3"/>
  <c r="X348" i="3"/>
  <c r="Z249" i="3"/>
  <c r="S251" i="3"/>
  <c r="R230" i="3"/>
  <c r="R226" i="3"/>
  <c r="R227" i="3" s="1"/>
  <c r="T39" i="3"/>
  <c r="T164" i="3"/>
  <c r="R42" i="3"/>
  <c r="T275" i="3"/>
  <c r="Z286" i="3"/>
  <c r="S288" i="3"/>
  <c r="Q288" i="3"/>
  <c r="X286" i="3"/>
  <c r="T193" i="3"/>
  <c r="AA188" i="3"/>
  <c r="T189" i="3"/>
  <c r="T190" i="3" s="1"/>
  <c r="R44" i="3"/>
  <c r="R349" i="3"/>
  <c r="X347" i="3"/>
  <c r="T44" i="3"/>
  <c r="T349" i="3"/>
  <c r="V230" i="3"/>
  <c r="V226" i="3"/>
  <c r="V227" i="3" s="1"/>
  <c r="R325" i="3"/>
  <c r="Y323" i="3"/>
  <c r="R103" i="3"/>
  <c r="Y101" i="3"/>
  <c r="V46" i="3"/>
  <c r="V423" i="3"/>
  <c r="O337" i="3"/>
  <c r="O338" i="3" s="1"/>
  <c r="O341" i="3"/>
  <c r="Q119" i="3"/>
  <c r="Q115" i="3"/>
  <c r="Q116" i="3" s="1"/>
  <c r="Q164" i="3"/>
  <c r="V140" i="3"/>
  <c r="AB138" i="3"/>
  <c r="R152" i="3"/>
  <c r="R153" i="3" s="1"/>
  <c r="R156" i="3"/>
  <c r="Z255" i="3"/>
  <c r="U66" i="3"/>
  <c r="AA64" i="3"/>
  <c r="O416" i="3" l="1"/>
  <c r="Q40" i="3"/>
  <c r="S45" i="3"/>
  <c r="U37" i="3"/>
  <c r="R41" i="3"/>
  <c r="S40" i="3"/>
  <c r="O379" i="3"/>
  <c r="X341" i="3"/>
  <c r="S38" i="3"/>
  <c r="U306" i="3"/>
  <c r="U307" i="3" s="1"/>
  <c r="S194" i="3"/>
  <c r="R269" i="3"/>
  <c r="R270" i="3" s="1"/>
  <c r="T268" i="3"/>
  <c r="Q121" i="3"/>
  <c r="Q122" i="3" s="1"/>
  <c r="T343" i="3"/>
  <c r="T344" i="3" s="1"/>
  <c r="T194" i="3"/>
  <c r="S380" i="3"/>
  <c r="S381" i="3" s="1"/>
  <c r="S231" i="3"/>
  <c r="U195" i="3"/>
  <c r="U196" i="3" s="1"/>
  <c r="T83" i="3"/>
  <c r="S305" i="3"/>
  <c r="S269" i="3"/>
  <c r="S270" i="3" s="1"/>
  <c r="V231" i="3"/>
  <c r="R232" i="3"/>
  <c r="R233" i="3" s="1"/>
  <c r="T158" i="3"/>
  <c r="T159" i="3" s="1"/>
  <c r="U158" i="3"/>
  <c r="U159" i="3" s="1"/>
  <c r="R306" i="3"/>
  <c r="R307" i="3" s="1"/>
  <c r="T380" i="3"/>
  <c r="T381" i="3" s="1"/>
  <c r="U305" i="3"/>
  <c r="X140" i="3"/>
  <c r="Q141" i="3"/>
  <c r="Q417" i="3"/>
  <c r="Q418" i="3" s="1"/>
  <c r="Q416" i="3"/>
  <c r="T121" i="3"/>
  <c r="T122" i="3" s="1"/>
  <c r="T120" i="3"/>
  <c r="U416" i="3"/>
  <c r="U417" i="3"/>
  <c r="U418" i="3" s="1"/>
  <c r="V84" i="3"/>
  <c r="V85" i="3" s="1"/>
  <c r="V83" i="3"/>
  <c r="U141" i="3"/>
  <c r="AA140" i="3"/>
  <c r="U157" i="3"/>
  <c r="AB288" i="3"/>
  <c r="U289" i="3"/>
  <c r="S363" i="3"/>
  <c r="AA362" i="3"/>
  <c r="Q38" i="3"/>
  <c r="S157" i="3"/>
  <c r="S153" i="3"/>
  <c r="S158" i="3" s="1"/>
  <c r="S159" i="3" s="1"/>
  <c r="U231" i="3"/>
  <c r="U227" i="3"/>
  <c r="U232" i="3" s="1"/>
  <c r="U233" i="3" s="1"/>
  <c r="V416" i="3"/>
  <c r="V417" i="3"/>
  <c r="V418" i="3" s="1"/>
  <c r="AA66" i="3"/>
  <c r="U67" i="3"/>
  <c r="Y103" i="3"/>
  <c r="R104" i="3"/>
  <c r="T195" i="3"/>
  <c r="T196" i="3" s="1"/>
  <c r="Q289" i="3"/>
  <c r="X288" i="3"/>
  <c r="T42" i="3"/>
  <c r="S252" i="3"/>
  <c r="Z251" i="3"/>
  <c r="Q83" i="3"/>
  <c r="Q84" i="3"/>
  <c r="Q85" i="3" s="1"/>
  <c r="T157" i="3"/>
  <c r="T305" i="3"/>
  <c r="T301" i="3"/>
  <c r="T306" i="3" s="1"/>
  <c r="T307" i="3" s="1"/>
  <c r="Q195" i="3"/>
  <c r="Q196" i="3" s="1"/>
  <c r="Q194" i="3"/>
  <c r="T38" i="3"/>
  <c r="S44" i="3"/>
  <c r="R387" i="3"/>
  <c r="S342" i="3"/>
  <c r="Y341" i="3"/>
  <c r="T252" i="3"/>
  <c r="AA251" i="3"/>
  <c r="T289" i="3"/>
  <c r="AA288" i="3"/>
  <c r="AA325" i="3"/>
  <c r="T326" i="3"/>
  <c r="V141" i="3"/>
  <c r="AB140" i="3"/>
  <c r="Q120" i="3"/>
  <c r="R231" i="3"/>
  <c r="S338" i="3"/>
  <c r="Y338" i="3" s="1"/>
  <c r="Y337" i="3"/>
  <c r="AA177" i="3"/>
  <c r="Z177" i="3"/>
  <c r="S178" i="3"/>
  <c r="AA178" i="3" s="1"/>
  <c r="Y288" i="3"/>
  <c r="R289" i="3"/>
  <c r="V45" i="3"/>
  <c r="T40" i="3"/>
  <c r="R416" i="3"/>
  <c r="R417" i="3"/>
  <c r="R418" i="3" s="1"/>
  <c r="Y140" i="3"/>
  <c r="R141" i="3"/>
  <c r="R157" i="3"/>
  <c r="R158" i="3"/>
  <c r="R159" i="3" s="1"/>
  <c r="Q67" i="3"/>
  <c r="X66" i="3"/>
  <c r="Y251" i="3"/>
  <c r="R252" i="3"/>
  <c r="T202" i="3"/>
  <c r="O306" i="3"/>
  <c r="O307" i="3" s="1"/>
  <c r="O305" i="3"/>
  <c r="AA103" i="3"/>
  <c r="U104" i="3"/>
  <c r="S84" i="3"/>
  <c r="S85" i="3" s="1"/>
  <c r="S83" i="3"/>
  <c r="AB103" i="3"/>
  <c r="V104" i="3"/>
  <c r="T231" i="3"/>
  <c r="T227" i="3"/>
  <c r="T232" i="3" s="1"/>
  <c r="T233" i="3" s="1"/>
  <c r="V379" i="3"/>
  <c r="V380" i="3"/>
  <c r="V381" i="3" s="1"/>
  <c r="V194" i="3"/>
  <c r="V190" i="3"/>
  <c r="V195" i="3" s="1"/>
  <c r="V196" i="3" s="1"/>
  <c r="S41" i="3"/>
  <c r="V158" i="3"/>
  <c r="V159" i="3" s="1"/>
  <c r="V157" i="3"/>
  <c r="S416" i="3"/>
  <c r="S417" i="3"/>
  <c r="S418" i="3" s="1"/>
  <c r="R194" i="3"/>
  <c r="R195" i="3"/>
  <c r="R196" i="3" s="1"/>
  <c r="U252" i="3"/>
  <c r="AB251" i="3"/>
  <c r="S268" i="3"/>
  <c r="R342" i="3"/>
  <c r="R338" i="3"/>
  <c r="X337" i="3"/>
  <c r="X215" i="3"/>
  <c r="Q269" i="3"/>
  <c r="Q270" i="3" s="1"/>
  <c r="Q268" i="3"/>
  <c r="Q380" i="3"/>
  <c r="Q381" i="3" s="1"/>
  <c r="Q379" i="3"/>
  <c r="Z103" i="3"/>
  <c r="T104" i="3"/>
  <c r="T67" i="3"/>
  <c r="Z66" i="3"/>
  <c r="O343" i="3"/>
  <c r="O344" i="3" s="1"/>
  <c r="O342" i="3"/>
  <c r="R326" i="3"/>
  <c r="Y325" i="3"/>
  <c r="V232" i="3"/>
  <c r="V233" i="3" s="1"/>
  <c r="S289" i="3"/>
  <c r="Z288" i="3"/>
  <c r="S379" i="3"/>
  <c r="T141" i="3"/>
  <c r="Z140" i="3"/>
  <c r="Q104" i="3"/>
  <c r="X103" i="3"/>
  <c r="T43" i="3"/>
  <c r="X251" i="3"/>
  <c r="Q252" i="3"/>
  <c r="S232" i="3"/>
  <c r="S233" i="3" s="1"/>
  <c r="U194" i="3"/>
  <c r="S42" i="3"/>
  <c r="Q231" i="3"/>
  <c r="Q232" i="3"/>
  <c r="Q233" i="3" s="1"/>
  <c r="T84" i="3"/>
  <c r="T85" i="3" s="1"/>
  <c r="R305" i="3"/>
  <c r="T379" i="3"/>
  <c r="U84" i="3"/>
  <c r="U85" i="3" s="1"/>
  <c r="U83" i="3"/>
  <c r="Y66" i="3"/>
  <c r="R67" i="3"/>
  <c r="S37" i="3"/>
  <c r="R380" i="3"/>
  <c r="R381" i="3" s="1"/>
  <c r="R379" i="3"/>
  <c r="Q387" i="3"/>
  <c r="Y215" i="3"/>
  <c r="V38" i="3"/>
  <c r="S195" i="3"/>
  <c r="S196" i="3" s="1"/>
  <c r="R268" i="3"/>
  <c r="U121" i="3"/>
  <c r="U122" i="3" s="1"/>
  <c r="U120" i="3"/>
  <c r="X177" i="3"/>
  <c r="Q178" i="3"/>
  <c r="S387" i="3"/>
  <c r="U42" i="3"/>
  <c r="AB66" i="3"/>
  <c r="V67" i="3"/>
  <c r="T417" i="3"/>
  <c r="T418" i="3" s="1"/>
  <c r="T416" i="3"/>
  <c r="R121" i="3"/>
  <c r="R122" i="3" s="1"/>
  <c r="R120" i="3"/>
  <c r="R178" i="3"/>
  <c r="Y177" i="3"/>
  <c r="U268" i="3"/>
  <c r="U269" i="3"/>
  <c r="U270" i="3" s="1"/>
  <c r="Q305" i="3"/>
  <c r="Q306" i="3"/>
  <c r="Q307" i="3" s="1"/>
  <c r="S120" i="3"/>
  <c r="S121" i="3"/>
  <c r="S122" i="3" s="1"/>
  <c r="U379" i="3"/>
  <c r="U380" i="3"/>
  <c r="U381" i="3" s="1"/>
  <c r="T46" i="3"/>
  <c r="V121" i="3"/>
  <c r="V122" i="3" s="1"/>
  <c r="V120" i="3"/>
  <c r="Z215" i="3"/>
  <c r="S306" i="3"/>
  <c r="S307" i="3" s="1"/>
  <c r="V387" i="3"/>
  <c r="T269" i="3"/>
  <c r="T270" i="3" s="1"/>
  <c r="U39" i="3"/>
  <c r="Q157" i="3"/>
  <c r="Q158" i="3"/>
  <c r="Q159" i="3" s="1"/>
  <c r="R84" i="3"/>
  <c r="R85" i="3" s="1"/>
  <c r="R83" i="3"/>
  <c r="R363" i="3"/>
  <c r="Z362" i="3"/>
  <c r="T387" i="3"/>
  <c r="X325" i="3"/>
  <c r="AB325" i="3"/>
  <c r="S326" i="3"/>
  <c r="Z325" i="3"/>
  <c r="Q343" i="3"/>
  <c r="Q344" i="3" s="1"/>
  <c r="Q342" i="3"/>
  <c r="AB177" i="3"/>
  <c r="U178" i="3"/>
  <c r="T342" i="3"/>
  <c r="U387" i="3"/>
  <c r="T165" i="3" l="1"/>
  <c r="S54" i="3"/>
  <c r="R165" i="3"/>
  <c r="Y178" i="3"/>
  <c r="S276" i="3"/>
  <c r="Z289" i="3"/>
  <c r="V350" i="3"/>
  <c r="Q350" i="3"/>
  <c r="U91" i="3"/>
  <c r="AA104" i="3"/>
  <c r="T313" i="3"/>
  <c r="AA326" i="3"/>
  <c r="V165" i="3"/>
  <c r="Q276" i="3"/>
  <c r="X289" i="3"/>
  <c r="R91" i="3"/>
  <c r="Y104" i="3"/>
  <c r="AA67" i="3"/>
  <c r="U54" i="3"/>
  <c r="O387" i="3"/>
  <c r="O350" i="3"/>
  <c r="S350" i="3"/>
  <c r="AA363" i="3"/>
  <c r="R313" i="3"/>
  <c r="Y326" i="3"/>
  <c r="T54" i="3"/>
  <c r="Z67" i="3"/>
  <c r="R202" i="3"/>
  <c r="U350" i="3"/>
  <c r="R343" i="3"/>
  <c r="X338" i="3"/>
  <c r="V91" i="3"/>
  <c r="AB104" i="3"/>
  <c r="R276" i="3"/>
  <c r="Y289" i="3"/>
  <c r="AA252" i="3"/>
  <c r="T239" i="3"/>
  <c r="Y342" i="3"/>
  <c r="S128" i="3"/>
  <c r="S239" i="3"/>
  <c r="Z252" i="3"/>
  <c r="U276" i="3"/>
  <c r="AB289" i="3"/>
  <c r="U128" i="3"/>
  <c r="AA141" i="3"/>
  <c r="Q202" i="3"/>
  <c r="X178" i="3"/>
  <c r="Q165" i="3"/>
  <c r="V54" i="3"/>
  <c r="AB67" i="3"/>
  <c r="X104" i="3"/>
  <c r="Q91" i="3"/>
  <c r="T128" i="3"/>
  <c r="Z141" i="3"/>
  <c r="O276" i="3"/>
  <c r="T91" i="3"/>
  <c r="Z104" i="3"/>
  <c r="X342" i="3"/>
  <c r="T350" i="3"/>
  <c r="R239" i="3"/>
  <c r="Y252" i="3"/>
  <c r="R128" i="3"/>
  <c r="Y141" i="3"/>
  <c r="S343" i="3"/>
  <c r="O313" i="3"/>
  <c r="X141" i="3"/>
  <c r="Q128" i="3"/>
  <c r="AB326" i="3"/>
  <c r="Z326" i="3"/>
  <c r="S313" i="3"/>
  <c r="X326" i="3"/>
  <c r="S91" i="3"/>
  <c r="S202" i="3"/>
  <c r="U165" i="3"/>
  <c r="AB178" i="3"/>
  <c r="R350" i="3"/>
  <c r="Z363" i="3"/>
  <c r="Y67" i="3"/>
  <c r="R54" i="3"/>
  <c r="Q239" i="3"/>
  <c r="X252" i="3"/>
  <c r="V202" i="3"/>
  <c r="U239" i="3"/>
  <c r="AB252" i="3"/>
  <c r="X67" i="3"/>
  <c r="Q54" i="3"/>
  <c r="Z178" i="3"/>
  <c r="S165" i="3"/>
  <c r="V128" i="3"/>
  <c r="AB141" i="3"/>
  <c r="T276" i="3"/>
  <c r="AA289" i="3"/>
  <c r="Q313" i="3"/>
  <c r="U202" i="3"/>
  <c r="R344" i="3" l="1"/>
  <c r="X344" i="3" s="1"/>
  <c r="X343" i="3"/>
  <c r="S344" i="3"/>
  <c r="Y344" i="3" s="1"/>
  <c r="Y343" i="3"/>
</calcChain>
</file>

<file path=xl/sharedStrings.xml><?xml version="1.0" encoding="utf-8"?>
<sst xmlns="http://schemas.openxmlformats.org/spreadsheetml/2006/main" count="1030" uniqueCount="201">
  <si>
    <t>reg+prem+dod5</t>
  </si>
  <si>
    <t>reg+prem+dod4</t>
  </si>
  <si>
    <t>reg+prem+dod3</t>
  </si>
  <si>
    <t>reg+prem+dod1</t>
  </si>
  <si>
    <t>Stranski pridelki</t>
  </si>
  <si>
    <t>STROŠKI SKUPAJ</t>
  </si>
  <si>
    <t xml:space="preserve"> delo</t>
  </si>
  <si>
    <t>Kg/ha</t>
  </si>
  <si>
    <t>Intenzivnost pridelave</t>
  </si>
  <si>
    <t>Prid (neto za LC v analitični)</t>
  </si>
  <si>
    <t xml:space="preserve">              KMETIJSKI INŠTITUT SLOVENIJE</t>
  </si>
  <si>
    <t>Amortizacija</t>
  </si>
  <si>
    <t>Kupljen material in storitve</t>
  </si>
  <si>
    <t>SUM element</t>
  </si>
  <si>
    <t>vred glav prid</t>
  </si>
  <si>
    <t>Pc</t>
  </si>
  <si>
    <t>EUR/uro</t>
  </si>
  <si>
    <t>Neto dodana vrednost/uro</t>
  </si>
  <si>
    <t>EUR/ha</t>
  </si>
  <si>
    <t>Neto dodana vrednost</t>
  </si>
  <si>
    <t xml:space="preserve">Bruto dodana vrednost </t>
  </si>
  <si>
    <t xml:space="preserve">  Stroški domačega dela in kapitala</t>
  </si>
  <si>
    <t xml:space="preserve">  Amortizacija</t>
  </si>
  <si>
    <t xml:space="preserve">  Stroški kupljenega blaga in storitev</t>
  </si>
  <si>
    <t>Stroški zmanjšani za interno realizacijo</t>
  </si>
  <si>
    <t>Vrednost finalne proizvodnje skupaj</t>
  </si>
  <si>
    <t>OBRAČUN DOHODKA</t>
  </si>
  <si>
    <t xml:space="preserve">  Od tega interna realizacija</t>
  </si>
  <si>
    <t>Vrednost proizvodnje skupaj</t>
  </si>
  <si>
    <t>EUR/kg</t>
  </si>
  <si>
    <t>Prodajna cena</t>
  </si>
  <si>
    <t>Stroški, zmanjšani za subvencije/kg</t>
  </si>
  <si>
    <t>Stroški, zmanjšani za subvencije</t>
  </si>
  <si>
    <t>Subvencije</t>
  </si>
  <si>
    <t>Stroški glavnega pridelka</t>
  </si>
  <si>
    <t>Stroški skupaj</t>
  </si>
  <si>
    <t xml:space="preserve">  Od tega: domače delo neto</t>
  </si>
  <si>
    <t>Stroški domačega dela in kapitala</t>
  </si>
  <si>
    <t xml:space="preserve">                 domače strojne storitve</t>
  </si>
  <si>
    <t xml:space="preserve">                 zavarovanje</t>
  </si>
  <si>
    <t xml:space="preserve">                 najete storitve</t>
  </si>
  <si>
    <t xml:space="preserve">                 sredstva za varstvo</t>
  </si>
  <si>
    <t xml:space="preserve">                 gnojila</t>
  </si>
  <si>
    <t xml:space="preserve">  Od tega: seme</t>
  </si>
  <si>
    <t>Stroški blaga in storitev</t>
  </si>
  <si>
    <t>IZVLEČEK ANALITIČNE KALKULACIJE</t>
  </si>
  <si>
    <t>Enota</t>
  </si>
  <si>
    <t>◄ izbor kalkulacije</t>
  </si>
  <si>
    <t>KONTROLA</t>
  </si>
  <si>
    <t>"Brez dajatev in pravic iz dela" vključujejo: a + e</t>
  </si>
  <si>
    <t>"Minimalne obveznosti iz dela"  vključujejo: a + b + e</t>
  </si>
  <si>
    <t xml:space="preserve">d. pravice iz dela (plačani bolniški in redni letni dopust, regres, regres za malico), </t>
  </si>
  <si>
    <t>"Polne dajatve in pravice iz dela" vključujejo:</t>
  </si>
  <si>
    <t>RAZLIČNE RAVNI PARITETNEGA DOHODKA</t>
  </si>
  <si>
    <t>Število/ha</t>
  </si>
  <si>
    <t>Število trsov</t>
  </si>
  <si>
    <t>Kg/trs</t>
  </si>
  <si>
    <t>t/ha</t>
  </si>
  <si>
    <t>M4</t>
  </si>
  <si>
    <t>M 6</t>
  </si>
  <si>
    <t>M 5</t>
  </si>
  <si>
    <t>M 4</t>
  </si>
  <si>
    <t>M 3</t>
  </si>
  <si>
    <t>M 2</t>
  </si>
  <si>
    <t>M 1</t>
  </si>
  <si>
    <t>Model</t>
  </si>
  <si>
    <t>M3</t>
  </si>
  <si>
    <t>M2</t>
  </si>
  <si>
    <t>M1</t>
  </si>
  <si>
    <t>Indeks: M 1 =100</t>
  </si>
  <si>
    <t>ha</t>
  </si>
  <si>
    <t>Velikost poljine</t>
  </si>
  <si>
    <t>vel parcele</t>
  </si>
  <si>
    <t>Indeks: M 2 =100</t>
  </si>
  <si>
    <t>Indeks: M 3 =100</t>
  </si>
  <si>
    <t>str1_kg</t>
  </si>
  <si>
    <t>M5</t>
  </si>
  <si>
    <t>e. davke iz KD in stroške kapitala</t>
  </si>
  <si>
    <t>Pšenica</t>
  </si>
  <si>
    <t>EKONOMSKI KAZALCI PRI RAZLIČNI INTENZIVNOSTI IN VELIKOSTI PARCELE</t>
  </si>
  <si>
    <t>Odkupna cena; vir podatkov SURS; preračuni KIS</t>
  </si>
  <si>
    <t>sivo</t>
  </si>
  <si>
    <t>Brez dajatev in pravic iz dela</t>
  </si>
  <si>
    <t>Minimalne obveznosti iz dela</t>
  </si>
  <si>
    <t>Polne dajatve in pravice iz dela</t>
  </si>
  <si>
    <t>stroški-vse dajatve</t>
  </si>
  <si>
    <t>stroški-obv dajatve</t>
  </si>
  <si>
    <t>stroški vsi</t>
  </si>
  <si>
    <t>Regresi</t>
  </si>
  <si>
    <t>Zdrav dodatno</t>
  </si>
  <si>
    <t>Pokoj dodatno</t>
  </si>
  <si>
    <t>Zdrav obvezno</t>
  </si>
  <si>
    <t>Pokoj obvezno</t>
  </si>
  <si>
    <t>psenica</t>
  </si>
  <si>
    <t>psenicaA</t>
  </si>
  <si>
    <t>psenicaB</t>
  </si>
  <si>
    <t>psenicaC</t>
  </si>
  <si>
    <t>jecmenT</t>
  </si>
  <si>
    <t>oljrep</t>
  </si>
  <si>
    <t>grozpodA</t>
  </si>
  <si>
    <t>grozpodB</t>
  </si>
  <si>
    <t>grozpodC</t>
  </si>
  <si>
    <t>breskveA</t>
  </si>
  <si>
    <t>breskveB</t>
  </si>
  <si>
    <t>hruskeA</t>
  </si>
  <si>
    <t>hruskeB</t>
  </si>
  <si>
    <t>jabolkaA</t>
  </si>
  <si>
    <t>jabolkaB</t>
  </si>
  <si>
    <t>jabolkaC</t>
  </si>
  <si>
    <t>oljrepB</t>
  </si>
  <si>
    <t>oljrepA</t>
  </si>
  <si>
    <t>krompirA</t>
  </si>
  <si>
    <t>krompirB</t>
  </si>
  <si>
    <t>jecmenTA</t>
  </si>
  <si>
    <t>jecmenTB</t>
  </si>
  <si>
    <t>KMETIJSKI INŠTITUT SLOVENIJE</t>
  </si>
  <si>
    <t>Oddelek za ekonomiko kmetijstva</t>
  </si>
  <si>
    <t>oljrepC</t>
  </si>
  <si>
    <t>koruzaA</t>
  </si>
  <si>
    <t>koruzaB</t>
  </si>
  <si>
    <t>koruzaC</t>
  </si>
  <si>
    <t>koruzaD</t>
  </si>
  <si>
    <t>krompirC</t>
  </si>
  <si>
    <t>psenicaD</t>
  </si>
  <si>
    <t>psenicaE</t>
  </si>
  <si>
    <t>M6</t>
  </si>
  <si>
    <t>psenicaF</t>
  </si>
  <si>
    <t>Indeks: M 3 = 100</t>
  </si>
  <si>
    <t>Legenda:</t>
  </si>
  <si>
    <t>jecmenTE</t>
  </si>
  <si>
    <t>jecmenTD</t>
  </si>
  <si>
    <t>jecmenTC</t>
  </si>
  <si>
    <t>jecmenTF</t>
  </si>
  <si>
    <t>Indeks: M 2 = 100</t>
  </si>
  <si>
    <t>Bruto dodana vrednost</t>
  </si>
  <si>
    <t>Velikost parcele</t>
  </si>
  <si>
    <t>davek_a</t>
  </si>
  <si>
    <r>
      <t xml:space="preserve">Slika 1: Cenovne meje doseganja paritetnega dohodka - </t>
    </r>
    <r>
      <rPr>
        <b/>
        <sz val="9"/>
        <color theme="6" tint="-0.499984740745262"/>
        <rFont val="Arial"/>
        <family val="2"/>
        <charset val="238"/>
      </rPr>
      <t>PŠENICA</t>
    </r>
    <r>
      <rPr>
        <sz val="9"/>
        <rFont val="Arial"/>
        <family val="2"/>
        <charset val="238"/>
      </rPr>
      <t>,</t>
    </r>
  </si>
  <si>
    <r>
      <t xml:space="preserve">Slika 2: Kazalniki modelne ocene dohodka - </t>
    </r>
    <r>
      <rPr>
        <b/>
        <sz val="9"/>
        <color theme="6" tint="-0.499984740745262"/>
        <rFont val="Arial"/>
        <family val="2"/>
        <charset val="238"/>
      </rPr>
      <t>PŠENICA</t>
    </r>
    <r>
      <rPr>
        <b/>
        <sz val="9"/>
        <rFont val="Arial"/>
        <family val="2"/>
        <charset val="238"/>
      </rPr>
      <t>,</t>
    </r>
  </si>
  <si>
    <t>oljrepD</t>
  </si>
  <si>
    <t>oljrepE</t>
  </si>
  <si>
    <t>oljrepF</t>
  </si>
  <si>
    <r>
      <t xml:space="preserve">Slika 2: Kazalniki modelne ocene dohodka - </t>
    </r>
    <r>
      <rPr>
        <b/>
        <sz val="9"/>
        <color theme="6" tint="-0.499984740745262"/>
        <rFont val="Arial"/>
        <family val="2"/>
        <charset val="238"/>
      </rPr>
      <t>JEČMEN - tržni</t>
    </r>
    <r>
      <rPr>
        <b/>
        <sz val="9"/>
        <rFont val="Arial"/>
        <family val="2"/>
        <charset val="238"/>
      </rPr>
      <t>,</t>
    </r>
  </si>
  <si>
    <r>
      <t>Slika 1: Cenovne meje doseganja paritetnega dohodka -</t>
    </r>
    <r>
      <rPr>
        <b/>
        <sz val="9"/>
        <color theme="6" tint="-0.499984740745262"/>
        <rFont val="Arial"/>
        <family val="2"/>
        <charset val="238"/>
      </rPr>
      <t xml:space="preserve"> JEČMEN - tržni</t>
    </r>
    <r>
      <rPr>
        <sz val="9"/>
        <rFont val="Arial"/>
        <family val="2"/>
        <charset val="238"/>
      </rPr>
      <t>,</t>
    </r>
  </si>
  <si>
    <r>
      <t>Slika 1: Cenovne meje doseganja paritetnega dohodka -</t>
    </r>
    <r>
      <rPr>
        <b/>
        <sz val="9"/>
        <color theme="6" tint="-0.499984740745262"/>
        <rFont val="Arial"/>
        <family val="2"/>
        <charset val="238"/>
      </rPr>
      <t xml:space="preserve"> OLJNA OGRŠČICA</t>
    </r>
    <r>
      <rPr>
        <sz val="9"/>
        <rFont val="Arial"/>
        <family val="2"/>
        <charset val="238"/>
      </rPr>
      <t>,</t>
    </r>
  </si>
  <si>
    <r>
      <t xml:space="preserve">Slika 2: Kazalniki modelne ocene dohodka - </t>
    </r>
    <r>
      <rPr>
        <b/>
        <sz val="9"/>
        <color theme="6" tint="-0.499984740745262"/>
        <rFont val="Arial"/>
        <family val="2"/>
        <charset val="238"/>
      </rPr>
      <t xml:space="preserve"> OLJNA OGRŠČICA</t>
    </r>
    <r>
      <rPr>
        <b/>
        <sz val="9"/>
        <rFont val="Arial"/>
        <family val="2"/>
        <charset val="238"/>
      </rPr>
      <t>,</t>
    </r>
  </si>
  <si>
    <t>KAZALNIKI DOHODKA</t>
  </si>
  <si>
    <t>"Subvencije" vključujejo:</t>
  </si>
  <si>
    <t xml:space="preserve"> - vračilo trošarine</t>
  </si>
  <si>
    <t xml:space="preserve"> - vrednost plačilne pravice</t>
  </si>
  <si>
    <t xml:space="preserve"> - plačilo za zeleno komponento</t>
  </si>
  <si>
    <t xml:space="preserve"> - proizvodno vezano plačilo pri strnem žitu</t>
  </si>
  <si>
    <t>Vrednost pridelave_tržna</t>
  </si>
  <si>
    <t>"Vrednost pridelave_tržna" vključujeje:</t>
  </si>
  <si>
    <t>b. prispevke iz naslova zdravstvenega in pokojninskega zavarovanja kmetov (osnova minimalna plača),</t>
  </si>
  <si>
    <t xml:space="preserve">c. prispevke iz naslova zdravstvenega in pokojninskega zavarovanja kmetov, ki zagotavljajo z delavci primerljivo raven pravic (osnova povprečna plača), </t>
  </si>
  <si>
    <t>LEGENDA</t>
  </si>
  <si>
    <t>Neto dodana vrednsot</t>
  </si>
  <si>
    <r>
      <t xml:space="preserve">Slika 2: Kazalniki modelne ocene dohodka - </t>
    </r>
    <r>
      <rPr>
        <b/>
        <sz val="9"/>
        <color theme="6" tint="-0.499984740745262"/>
        <rFont val="Arial"/>
        <family val="2"/>
        <charset val="238"/>
      </rPr>
      <t>JEČMEN - tržni</t>
    </r>
    <r>
      <rPr>
        <sz val="9"/>
        <rFont val="Arial"/>
        <family val="2"/>
        <charset val="238"/>
      </rPr>
      <t>,</t>
    </r>
  </si>
  <si>
    <t xml:space="preserve"> Vrednost pridelave_tržna + Subvencije – Stroški kupljenega blaga in storitev</t>
  </si>
  <si>
    <t>"Bruto dodana vrednost" =</t>
  </si>
  <si>
    <t>a. neto plačo v višini povprečne neto plače v Republiki Sloveniji,</t>
  </si>
  <si>
    <t>glavni in stranski</t>
  </si>
  <si>
    <t xml:space="preserve"> - vrednost glavenga in stranskega pridelka</t>
  </si>
  <si>
    <t>koruzaE</t>
  </si>
  <si>
    <t>koruzaF</t>
  </si>
  <si>
    <t>semenski material</t>
  </si>
  <si>
    <t>krompirD</t>
  </si>
  <si>
    <t>krompirE</t>
  </si>
  <si>
    <t>krompirF</t>
  </si>
  <si>
    <t>jabolkaD</t>
  </si>
  <si>
    <t>jabolkaE</t>
  </si>
  <si>
    <t>hruskeC</t>
  </si>
  <si>
    <t>hruskeD</t>
  </si>
  <si>
    <t>hruskeE</t>
  </si>
  <si>
    <t>breskveC</t>
  </si>
  <si>
    <t>breskveD</t>
  </si>
  <si>
    <t>grozpodE</t>
  </si>
  <si>
    <t>grozpodD</t>
  </si>
  <si>
    <t>grozpodF</t>
  </si>
  <si>
    <t>Indeks: M 4 = 100</t>
  </si>
  <si>
    <t>Indeks: M 4 =100</t>
  </si>
  <si>
    <t>BRUTO DODANA VREDNOST</t>
  </si>
  <si>
    <r>
      <t xml:space="preserve">Slika 2: Kazalniki modelne ocene dohodka - </t>
    </r>
    <r>
      <rPr>
        <b/>
        <sz val="9"/>
        <color theme="6" tint="-0.499984740745262"/>
        <rFont val="Arial"/>
        <family val="2"/>
        <charset val="238"/>
      </rPr>
      <t>OLJNA OGRŠČICA</t>
    </r>
    <r>
      <rPr>
        <b/>
        <sz val="9"/>
        <rFont val="Arial"/>
        <family val="2"/>
        <charset val="238"/>
      </rPr>
      <t>,</t>
    </r>
  </si>
  <si>
    <t>XX</t>
  </si>
  <si>
    <t>Odkupna cena; ocena KIS</t>
  </si>
  <si>
    <t>GRAFI TU LE ZA ANALIZO, IZPIS NA leto!</t>
  </si>
  <si>
    <t>Koruza za zrnje</t>
  </si>
  <si>
    <t>Ječmen tržni</t>
  </si>
  <si>
    <t>Oljna ogrščica</t>
  </si>
  <si>
    <t>Krompir pozni</t>
  </si>
  <si>
    <t>Jabolka namizna</t>
  </si>
  <si>
    <t>Hruške namizne</t>
  </si>
  <si>
    <t>Breskve namizne</t>
  </si>
  <si>
    <t>Grozdje-vertikala podravska</t>
  </si>
  <si>
    <t>Grozdje-terase primorska</t>
  </si>
  <si>
    <t>2026*</t>
  </si>
  <si>
    <t>Indeks 2026*/25</t>
  </si>
  <si>
    <t xml:space="preserve">* začasna oktobrska ocena </t>
  </si>
  <si>
    <t>2026, začasna oktobrska ocena, upoštevani stroški zmanjšani za subvencije</t>
  </si>
  <si>
    <t>2026, začasna oktobrska ocena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</si>
</sst>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€&quot;_-;\-* #,##0.00\ &quot;€&quot;_-;_-* &quot;-&quot;??\ &quot;€&quot;_-;_-@_-"/>
    <numFmt numFmtId="165" formatCode="#,##0.0"/>
    <numFmt numFmtId="166" formatCode="#,##0.000"/>
    <numFmt numFmtId="167" formatCode="0.000"/>
    <numFmt numFmtId="168" formatCode="0.0000"/>
    <numFmt numFmtId="169" formatCode="0.0"/>
  </numFmts>
  <fonts count="117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8"/>
      <name val="Arial"/>
      <family val="2"/>
      <charset val="238"/>
    </font>
    <font>
      <sz val="8"/>
      <color rgb="FF0070C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9"/>
      <name val="Arial CE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sz val="8"/>
      <color theme="3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theme="6" tint="-0.49998474074526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i/>
      <sz val="9"/>
      <color rgb="FF0070C0"/>
      <name val="Arial"/>
      <family val="2"/>
      <charset val="238"/>
    </font>
    <font>
      <i/>
      <sz val="9"/>
      <name val="Arial"/>
      <family val="2"/>
      <charset val="238"/>
    </font>
    <font>
      <b/>
      <sz val="9"/>
      <color indexed="12"/>
      <name val="Arial"/>
      <family val="2"/>
      <charset val="238"/>
    </font>
    <font>
      <i/>
      <sz val="9"/>
      <color rgb="FF7030A0"/>
      <name val="Arial"/>
      <family val="2"/>
      <charset val="238"/>
    </font>
    <font>
      <sz val="9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u/>
      <sz val="7.5"/>
      <color indexed="12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2"/>
      <name val="Courier"/>
      <family val="1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9"/>
      <color rgb="FFFF0000"/>
      <name val="Arial"/>
      <family val="2"/>
      <charset val="238"/>
    </font>
    <font>
      <sz val="8"/>
      <color theme="6" tint="-0.249977111117893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238"/>
    </font>
    <font>
      <sz val="11"/>
      <color indexed="9"/>
      <name val="Arial"/>
      <family val="2"/>
      <charset val="238"/>
    </font>
    <font>
      <sz val="11"/>
      <color indexed="17"/>
      <name val="Arial"/>
      <family val="2"/>
      <charset val="238"/>
    </font>
    <font>
      <b/>
      <sz val="11"/>
      <color indexed="63"/>
      <name val="Arial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60"/>
      <name val="Arial"/>
      <family val="2"/>
      <charset val="238"/>
    </font>
    <font>
      <sz val="11"/>
      <color indexed="10"/>
      <name val="Arial"/>
      <family val="2"/>
      <charset val="238"/>
    </font>
    <font>
      <i/>
      <sz val="11"/>
      <color indexed="23"/>
      <name val="Arial"/>
      <family val="2"/>
      <charset val="238"/>
    </font>
    <font>
      <sz val="11"/>
      <color indexed="52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color indexed="52"/>
      <name val="Arial"/>
      <family val="2"/>
      <charset val="238"/>
    </font>
    <font>
      <sz val="11"/>
      <color indexed="20"/>
      <name val="Arial"/>
      <family val="2"/>
      <charset val="238"/>
    </font>
    <font>
      <sz val="11"/>
      <color indexed="62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b/>
      <sz val="9"/>
      <color theme="5" tint="-0.499984740745262"/>
      <name val="Arial"/>
      <family val="2"/>
      <charset val="238"/>
    </font>
    <font>
      <sz val="8"/>
      <color theme="6" tint="-0.499984740745262"/>
      <name val="Arial"/>
      <family val="2"/>
      <charset val="238"/>
    </font>
    <font>
      <sz val="9"/>
      <name val="Times New Roman"/>
      <family val="1"/>
      <charset val="238"/>
    </font>
    <font>
      <b/>
      <sz val="9"/>
      <color theme="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theme="0"/>
      <name val="Arial"/>
      <family val="2"/>
      <charset val="238"/>
    </font>
    <font>
      <sz val="9"/>
      <color theme="7" tint="-0.499984740745262"/>
      <name val="Arial"/>
      <family val="2"/>
      <charset val="238"/>
    </font>
    <font>
      <i/>
      <sz val="9"/>
      <color rgb="FF0070C0"/>
      <name val="Arial"/>
      <family val="2"/>
      <charset val="238"/>
    </font>
    <font>
      <b/>
      <sz val="9"/>
      <color theme="0"/>
      <name val="Times New Roman"/>
      <family val="1"/>
      <charset val="238"/>
    </font>
    <font>
      <i/>
      <sz val="9"/>
      <color theme="0"/>
      <name val="Arial"/>
      <family val="2"/>
      <charset val="238"/>
    </font>
    <font>
      <b/>
      <sz val="9"/>
      <name val="Times New Roman"/>
      <family val="1"/>
      <charset val="238"/>
    </font>
    <font>
      <i/>
      <sz val="9"/>
      <color rgb="FFFF0000"/>
      <name val="Arial"/>
      <family val="2"/>
      <charset val="238"/>
    </font>
    <font>
      <sz val="12"/>
      <color theme="6" tint="-0.499984740745262"/>
      <name val="Arial"/>
      <family val="2"/>
      <charset val="238"/>
    </font>
    <font>
      <b/>
      <sz val="9"/>
      <color theme="6" tint="-0.499984740745262"/>
      <name val="Arial CE"/>
      <charset val="238"/>
    </font>
    <font>
      <sz val="9"/>
      <color theme="4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indexed="9"/>
      <name val="Arial"/>
      <family val="2"/>
      <charset val="238"/>
    </font>
    <font>
      <sz val="9"/>
      <color theme="5" tint="-0.499984740745262"/>
      <name val="Arial"/>
      <family val="2"/>
      <charset val="238"/>
    </font>
    <font>
      <sz val="9"/>
      <color theme="3" tint="0.39997558519241921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i/>
      <sz val="9"/>
      <color theme="3" tint="0.39997558519241921"/>
      <name val="Arial"/>
      <family val="2"/>
      <charset val="238"/>
    </font>
    <font>
      <b/>
      <sz val="9"/>
      <color theme="3" tint="0.39997558519241921"/>
      <name val="Arial"/>
      <family val="2"/>
      <charset val="238"/>
    </font>
    <font>
      <sz val="9"/>
      <color theme="6" tint="-0.499984740745262"/>
      <name val="Arial"/>
      <family val="2"/>
      <charset val="238"/>
    </font>
    <font>
      <b/>
      <u/>
      <sz val="9"/>
      <color rgb="FF0070C0"/>
      <name val="Arial"/>
      <family val="2"/>
      <charset val="238"/>
    </font>
    <font>
      <b/>
      <sz val="16"/>
      <name val="Arial"/>
      <family val="2"/>
      <charset val="238"/>
    </font>
    <font>
      <b/>
      <sz val="16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u/>
      <sz val="10"/>
      <color rgb="FF0563C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4"/>
      <color theme="0"/>
      <name val="Arial"/>
      <family val="2"/>
      <charset val="238"/>
    </font>
    <font>
      <b/>
      <sz val="11"/>
      <color theme="1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73">
    <xf numFmtId="0" fontId="0" fillId="0" borderId="0"/>
    <xf numFmtId="0" fontId="9" fillId="0" borderId="0"/>
    <xf numFmtId="0" fontId="12" fillId="0" borderId="0"/>
    <xf numFmtId="0" fontId="12" fillId="0" borderId="0"/>
    <xf numFmtId="0" fontId="6" fillId="0" borderId="0"/>
    <xf numFmtId="0" fontId="5" fillId="0" borderId="0"/>
    <xf numFmtId="0" fontId="4" fillId="0" borderId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2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2" fillId="11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23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39" fillId="0" borderId="0"/>
    <xf numFmtId="0" fontId="30" fillId="0" borderId="0"/>
    <xf numFmtId="0" fontId="30" fillId="0" borderId="0"/>
    <xf numFmtId="0" fontId="40" fillId="24" borderId="0" applyNumberFormat="0" applyBorder="0" applyAlignment="0" applyProtection="0"/>
    <xf numFmtId="0" fontId="12" fillId="25" borderId="5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9" borderId="0" applyNumberFormat="0" applyBorder="0" applyAlignment="0" applyProtection="0"/>
    <xf numFmtId="0" fontId="43" fillId="0" borderId="6" applyNumberFormat="0" applyFill="0" applyAlignment="0" applyProtection="0"/>
    <xf numFmtId="0" fontId="44" fillId="30" borderId="7" applyNumberFormat="0" applyAlignment="0" applyProtection="0"/>
    <xf numFmtId="0" fontId="45" fillId="23" borderId="8" applyNumberFormat="0" applyAlignment="0" applyProtection="0"/>
    <xf numFmtId="0" fontId="46" fillId="10" borderId="0" applyNumberFormat="0" applyBorder="0" applyAlignment="0" applyProtection="0"/>
    <xf numFmtId="0" fontId="47" fillId="14" borderId="8" applyNumberFormat="0" applyAlignment="0" applyProtection="0"/>
    <xf numFmtId="0" fontId="48" fillId="0" borderId="9" applyNumberFormat="0" applyFill="0" applyAlignment="0" applyProtection="0"/>
    <xf numFmtId="0" fontId="9" fillId="0" borderId="0"/>
    <xf numFmtId="0" fontId="51" fillId="0" borderId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2" borderId="0" applyNumberFormat="0" applyBorder="0" applyAlignment="0" applyProtection="0"/>
    <xf numFmtId="0" fontId="51" fillId="15" borderId="0" applyNumberFormat="0" applyBorder="0" applyAlignment="0" applyProtection="0"/>
    <xf numFmtId="0" fontId="51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3" fillId="11" borderId="0" applyNumberFormat="0" applyBorder="0" applyAlignment="0" applyProtection="0"/>
    <xf numFmtId="0" fontId="54" fillId="23" borderId="1" applyNumberFormat="0" applyAlignment="0" applyProtection="0"/>
    <xf numFmtId="0" fontId="55" fillId="0" borderId="0" applyNumberFormat="0" applyFill="0" applyBorder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59" fillId="24" borderId="0" applyNumberFormat="0" applyBorder="0" applyAlignment="0" applyProtection="0"/>
    <xf numFmtId="0" fontId="51" fillId="25" borderId="5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9" borderId="0" applyNumberFormat="0" applyBorder="0" applyAlignment="0" applyProtection="0"/>
    <xf numFmtId="0" fontId="62" fillId="0" borderId="6" applyNumberFormat="0" applyFill="0" applyAlignment="0" applyProtection="0"/>
    <xf numFmtId="0" fontId="63" fillId="30" borderId="7" applyNumberFormat="0" applyAlignment="0" applyProtection="0"/>
    <xf numFmtId="0" fontId="64" fillId="23" borderId="8" applyNumberFormat="0" applyAlignment="0" applyProtection="0"/>
    <xf numFmtId="0" fontId="65" fillId="10" borderId="0" applyNumberFormat="0" applyBorder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12" fillId="0" borderId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12" borderId="0" applyNumberFormat="0" applyBorder="0" applyAlignment="0" applyProtection="0"/>
    <xf numFmtId="0" fontId="51" fillId="15" borderId="0" applyNumberFormat="0" applyBorder="0" applyAlignment="0" applyProtection="0"/>
    <xf numFmtId="0" fontId="51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3" fillId="11" borderId="0" applyNumberFormat="0" applyBorder="0" applyAlignment="0" applyProtection="0"/>
    <xf numFmtId="0" fontId="54" fillId="23" borderId="1" applyNumberFormat="0" applyAlignment="0" applyProtection="0"/>
    <xf numFmtId="0" fontId="55" fillId="0" borderId="0" applyNumberFormat="0" applyFill="0" applyBorder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59" fillId="24" borderId="0" applyNumberFormat="0" applyBorder="0" applyAlignment="0" applyProtection="0"/>
    <xf numFmtId="0" fontId="51" fillId="25" borderId="5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9" borderId="0" applyNumberFormat="0" applyBorder="0" applyAlignment="0" applyProtection="0"/>
    <xf numFmtId="0" fontId="62" fillId="0" borderId="6" applyNumberFormat="0" applyFill="0" applyAlignment="0" applyProtection="0"/>
    <xf numFmtId="0" fontId="63" fillId="30" borderId="7" applyNumberFormat="0" applyAlignment="0" applyProtection="0"/>
    <xf numFmtId="0" fontId="64" fillId="23" borderId="8" applyNumberFormat="0" applyAlignment="0" applyProtection="0"/>
    <xf numFmtId="0" fontId="65" fillId="10" borderId="0" applyNumberFormat="0" applyBorder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45" fillId="23" borderId="8" applyNumberFormat="0" applyAlignment="0" applyProtection="0"/>
    <xf numFmtId="164" fontId="51" fillId="0" borderId="0" applyFont="0" applyFill="0" applyBorder="0" applyAlignment="0" applyProtection="0"/>
    <xf numFmtId="0" fontId="47" fillId="14" borderId="8" applyNumberFormat="0" applyAlignment="0" applyProtection="0"/>
    <xf numFmtId="0" fontId="3" fillId="0" borderId="0"/>
    <xf numFmtId="0" fontId="51" fillId="0" borderId="0"/>
    <xf numFmtId="0" fontId="30" fillId="0" borderId="0"/>
    <xf numFmtId="0" fontId="68" fillId="9" borderId="0" applyNumberFormat="0" applyBorder="0" applyAlignment="0" applyProtection="0"/>
    <xf numFmtId="0" fontId="68" fillId="10" borderId="0" applyNumberFormat="0" applyBorder="0" applyAlignment="0" applyProtection="0"/>
    <xf numFmtId="0" fontId="68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2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9" fillId="19" borderId="0" applyNumberFormat="0" applyBorder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70" fillId="11" borderId="0" applyNumberFormat="0" applyBorder="0" applyAlignment="0" applyProtection="0"/>
    <xf numFmtId="0" fontId="71" fillId="23" borderId="1" applyNumberFormat="0" applyAlignment="0" applyProtection="0"/>
    <xf numFmtId="0" fontId="72" fillId="0" borderId="2" applyNumberFormat="0" applyFill="0" applyAlignment="0" applyProtection="0"/>
    <xf numFmtId="0" fontId="73" fillId="0" borderId="3" applyNumberFormat="0" applyFill="0" applyAlignment="0" applyProtection="0"/>
    <xf numFmtId="0" fontId="74" fillId="0" borderId="4" applyNumberFormat="0" applyFill="0" applyAlignment="0" applyProtection="0"/>
    <xf numFmtId="0" fontId="74" fillId="0" borderId="0" applyNumberFormat="0" applyFill="0" applyBorder="0" applyAlignment="0" applyProtection="0"/>
    <xf numFmtId="0" fontId="75" fillId="24" borderId="0" applyNumberFormat="0" applyBorder="0" applyAlignment="0" applyProtection="0"/>
    <xf numFmtId="0" fontId="30" fillId="25" borderId="5" applyNumberFormat="0" applyFon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9" borderId="0" applyNumberFormat="0" applyBorder="0" applyAlignment="0" applyProtection="0"/>
    <xf numFmtId="0" fontId="78" fillId="0" borderId="6" applyNumberFormat="0" applyFill="0" applyAlignment="0" applyProtection="0"/>
    <xf numFmtId="0" fontId="79" fillId="30" borderId="7" applyNumberFormat="0" applyAlignment="0" applyProtection="0"/>
    <xf numFmtId="0" fontId="80" fillId="23" borderId="8" applyNumberFormat="0" applyAlignment="0" applyProtection="0"/>
    <xf numFmtId="0" fontId="81" fillId="10" borderId="0" applyNumberFormat="0" applyBorder="0" applyAlignment="0" applyProtection="0"/>
    <xf numFmtId="0" fontId="82" fillId="14" borderId="8" applyNumberFormat="0" applyAlignment="0" applyProtection="0"/>
    <xf numFmtId="0" fontId="83" fillId="0" borderId="9" applyNumberFormat="0" applyFill="0" applyAlignment="0" applyProtection="0"/>
    <xf numFmtId="0" fontId="12" fillId="25" borderId="5" applyNumberFormat="0" applyFont="0" applyAlignment="0" applyProtection="0"/>
    <xf numFmtId="0" fontId="34" fillId="23" borderId="1" applyNumberFormat="0" applyAlignment="0" applyProtection="0"/>
    <xf numFmtId="0" fontId="48" fillId="0" borderId="9" applyNumberFormat="0" applyFill="0" applyAlignment="0" applyProtection="0"/>
    <xf numFmtId="0" fontId="54" fillId="23" borderId="1" applyNumberFormat="0" applyAlignment="0" applyProtection="0"/>
    <xf numFmtId="0" fontId="51" fillId="25" borderId="5" applyNumberFormat="0" applyFont="0" applyAlignment="0" applyProtection="0"/>
    <xf numFmtId="0" fontId="64" fillId="23" borderId="8" applyNumberFormat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34" fillId="23" borderId="1" applyNumberFormat="0" applyAlignment="0" applyProtection="0"/>
    <xf numFmtId="0" fontId="12" fillId="25" borderId="5" applyNumberFormat="0" applyFont="0" applyAlignment="0" applyProtection="0"/>
    <xf numFmtId="0" fontId="45" fillId="23" borderId="8" applyNumberFormat="0" applyAlignment="0" applyProtection="0"/>
    <xf numFmtId="0" fontId="47" fillId="14" borderId="8" applyNumberFormat="0" applyAlignment="0" applyProtection="0"/>
    <xf numFmtId="0" fontId="48" fillId="0" borderId="9" applyNumberFormat="0" applyFill="0" applyAlignment="0" applyProtection="0"/>
    <xf numFmtId="0" fontId="12" fillId="0" borderId="0"/>
    <xf numFmtId="0" fontId="3" fillId="0" borderId="0"/>
    <xf numFmtId="0" fontId="71" fillId="23" borderId="1" applyNumberFormat="0" applyAlignment="0" applyProtection="0"/>
    <xf numFmtId="0" fontId="3" fillId="0" borderId="0"/>
    <xf numFmtId="0" fontId="51" fillId="0" borderId="0"/>
    <xf numFmtId="0" fontId="39" fillId="0" borderId="0"/>
    <xf numFmtId="0" fontId="34" fillId="23" borderId="1" applyNumberFormat="0" applyAlignment="0" applyProtection="0"/>
    <xf numFmtId="0" fontId="54" fillId="23" borderId="1" applyNumberFormat="0" applyAlignment="0" applyProtection="0"/>
    <xf numFmtId="0" fontId="12" fillId="25" borderId="5" applyNumberFormat="0" applyFont="0" applyAlignment="0" applyProtection="0"/>
    <xf numFmtId="0" fontId="51" fillId="25" borderId="5" applyNumberFormat="0" applyFont="0" applyAlignment="0" applyProtection="0"/>
    <xf numFmtId="0" fontId="45" fillId="23" borderId="8" applyNumberFormat="0" applyAlignment="0" applyProtection="0"/>
    <xf numFmtId="0" fontId="64" fillId="23" borderId="8" applyNumberFormat="0" applyAlignment="0" applyProtection="0"/>
    <xf numFmtId="0" fontId="47" fillId="14" borderId="8" applyNumberFormat="0" applyAlignment="0" applyProtection="0"/>
    <xf numFmtId="0" fontId="66" fillId="14" borderId="8" applyNumberFormat="0" applyAlignment="0" applyProtection="0"/>
    <xf numFmtId="0" fontId="48" fillId="0" borderId="9" applyNumberFormat="0" applyFill="0" applyAlignment="0" applyProtection="0"/>
    <xf numFmtId="0" fontId="67" fillId="0" borderId="9" applyNumberFormat="0" applyFill="0" applyAlignment="0" applyProtection="0"/>
    <xf numFmtId="0" fontId="54" fillId="23" borderId="1" applyNumberFormat="0" applyAlignment="0" applyProtection="0"/>
    <xf numFmtId="0" fontId="12" fillId="0" borderId="0"/>
    <xf numFmtId="0" fontId="51" fillId="25" borderId="5" applyNumberFormat="0" applyFont="0" applyAlignment="0" applyProtection="0"/>
    <xf numFmtId="0" fontId="64" fillId="23" borderId="8" applyNumberFormat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12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4" fillId="23" borderId="10" applyNumberFormat="0" applyAlignment="0" applyProtection="0"/>
    <xf numFmtId="0" fontId="38" fillId="0" borderId="4" applyNumberFormat="0" applyFill="0" applyAlignment="0" applyProtection="0"/>
    <xf numFmtId="0" fontId="12" fillId="25" borderId="5" applyNumberFormat="0" applyFont="0" applyAlignment="0" applyProtection="0"/>
    <xf numFmtId="0" fontId="45" fillId="23" borderId="8" applyNumberFormat="0" applyAlignment="0" applyProtection="0"/>
    <xf numFmtId="0" fontId="47" fillId="14" borderId="8" applyNumberFormat="0" applyAlignment="0" applyProtection="0"/>
    <xf numFmtId="0" fontId="48" fillId="0" borderId="9" applyNumberFormat="0" applyFill="0" applyAlignment="0" applyProtection="0"/>
    <xf numFmtId="0" fontId="9" fillId="0" borderId="0"/>
    <xf numFmtId="0" fontId="54" fillId="23" borderId="10" applyNumberFormat="0" applyAlignment="0" applyProtection="0"/>
    <xf numFmtId="0" fontId="54" fillId="23" borderId="10" applyNumberFormat="0" applyAlignment="0" applyProtection="0"/>
    <xf numFmtId="0" fontId="2" fillId="0" borderId="0"/>
    <xf numFmtId="0" fontId="71" fillId="23" borderId="10" applyNumberFormat="0" applyAlignment="0" applyProtection="0"/>
    <xf numFmtId="0" fontId="34" fillId="23" borderId="10" applyNumberFormat="0" applyAlignment="0" applyProtection="0"/>
    <xf numFmtId="0" fontId="54" fillId="23" borderId="10" applyNumberFormat="0" applyAlignment="0" applyProtection="0"/>
    <xf numFmtId="0" fontId="34" fillId="23" borderId="10" applyNumberFormat="0" applyAlignment="0" applyProtection="0"/>
    <xf numFmtId="0" fontId="2" fillId="0" borderId="0"/>
    <xf numFmtId="0" fontId="71" fillId="23" borderId="10" applyNumberFormat="0" applyAlignment="0" applyProtection="0"/>
    <xf numFmtId="0" fontId="2" fillId="0" borderId="0"/>
    <xf numFmtId="0" fontId="34" fillId="23" borderId="10" applyNumberFormat="0" applyAlignment="0" applyProtection="0"/>
    <xf numFmtId="0" fontId="54" fillId="23" borderId="10" applyNumberFormat="0" applyAlignment="0" applyProtection="0"/>
    <xf numFmtId="0" fontId="54" fillId="23" borderId="10" applyNumberFormat="0" applyAlignment="0" applyProtection="0"/>
    <xf numFmtId="0" fontId="2" fillId="0" borderId="0"/>
    <xf numFmtId="0" fontId="2" fillId="0" borderId="0"/>
    <xf numFmtId="0" fontId="2" fillId="0" borderId="0"/>
    <xf numFmtId="0" fontId="34" fillId="23" borderId="14" applyNumberFormat="0" applyAlignment="0" applyProtection="0"/>
    <xf numFmtId="0" fontId="38" fillId="0" borderId="15" applyNumberFormat="0" applyFill="0" applyAlignment="0" applyProtection="0"/>
    <xf numFmtId="0" fontId="71" fillId="23" borderId="14" applyNumberFormat="0" applyAlignment="0" applyProtection="0"/>
    <xf numFmtId="0" fontId="2" fillId="0" borderId="0"/>
    <xf numFmtId="0" fontId="2" fillId="0" borderId="0"/>
    <xf numFmtId="0" fontId="2" fillId="0" borderId="0"/>
    <xf numFmtId="0" fontId="12" fillId="25" borderId="5" applyNumberFormat="0" applyFont="0" applyAlignment="0" applyProtection="0"/>
    <xf numFmtId="0" fontId="12" fillId="25" borderId="5" applyNumberFormat="0" applyFont="0" applyAlignment="0" applyProtection="0"/>
    <xf numFmtId="0" fontId="51" fillId="25" borderId="5" applyNumberFormat="0" applyFont="0" applyAlignment="0" applyProtection="0"/>
    <xf numFmtId="0" fontId="80" fillId="23" borderId="8" applyNumberFormat="0" applyAlignment="0" applyProtection="0"/>
    <xf numFmtId="0" fontId="82" fillId="14" borderId="8" applyNumberFormat="0" applyAlignment="0" applyProtection="0"/>
    <xf numFmtId="0" fontId="83" fillId="0" borderId="9" applyNumberFormat="0" applyFill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30" fillId="25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54" fillId="23" borderId="14" applyNumberFormat="0" applyAlignment="0" applyProtection="0"/>
    <xf numFmtId="0" fontId="58" fillId="0" borderId="15" applyNumberFormat="0" applyFill="0" applyAlignment="0" applyProtection="0"/>
    <xf numFmtId="0" fontId="54" fillId="23" borderId="14" applyNumberFormat="0" applyAlignment="0" applyProtection="0"/>
    <xf numFmtId="0" fontId="58" fillId="0" borderId="15" applyNumberFormat="0" applyFill="0" applyAlignment="0" applyProtection="0"/>
    <xf numFmtId="0" fontId="51" fillId="25" borderId="5" applyNumberFormat="0" applyFont="0" applyAlignment="0" applyProtection="0"/>
    <xf numFmtId="0" fontId="64" fillId="23" borderId="8" applyNumberFormat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45" fillId="23" borderId="8" applyNumberFormat="0" applyAlignment="0" applyProtection="0"/>
    <xf numFmtId="0" fontId="47" fillId="14" borderId="8" applyNumberFormat="0" applyAlignment="0" applyProtection="0"/>
    <xf numFmtId="0" fontId="2" fillId="0" borderId="0"/>
    <xf numFmtId="0" fontId="74" fillId="0" borderId="15" applyNumberFormat="0" applyFill="0" applyAlignment="0" applyProtection="0"/>
    <xf numFmtId="0" fontId="34" fillId="23" borderId="14" applyNumberFormat="0" applyAlignment="0" applyProtection="0"/>
    <xf numFmtId="0" fontId="48" fillId="0" borderId="9" applyNumberFormat="0" applyFill="0" applyAlignment="0" applyProtection="0"/>
    <xf numFmtId="0" fontId="54" fillId="23" borderId="14" applyNumberFormat="0" applyAlignment="0" applyProtection="0"/>
    <xf numFmtId="0" fontId="64" fillId="23" borderId="8" applyNumberFormat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34" fillId="23" borderId="14" applyNumberFormat="0" applyAlignment="0" applyProtection="0"/>
    <xf numFmtId="0" fontId="45" fillId="23" borderId="8" applyNumberFormat="0" applyAlignment="0" applyProtection="0"/>
    <xf numFmtId="0" fontId="47" fillId="14" borderId="8" applyNumberFormat="0" applyAlignment="0" applyProtection="0"/>
    <xf numFmtId="0" fontId="48" fillId="0" borderId="9" applyNumberFormat="0" applyFill="0" applyAlignment="0" applyProtection="0"/>
    <xf numFmtId="0" fontId="2" fillId="0" borderId="0"/>
    <xf numFmtId="0" fontId="71" fillId="23" borderId="14" applyNumberFormat="0" applyAlignment="0" applyProtection="0"/>
    <xf numFmtId="0" fontId="2" fillId="0" borderId="0"/>
    <xf numFmtId="0" fontId="54" fillId="23" borderId="14" applyNumberFormat="0" applyAlignment="0" applyProtection="0"/>
    <xf numFmtId="0" fontId="64" fillId="23" borderId="8" applyNumberFormat="0" applyAlignment="0" applyProtection="0"/>
    <xf numFmtId="0" fontId="66" fillId="14" borderId="8" applyNumberFormat="0" applyAlignment="0" applyProtection="0"/>
    <xf numFmtId="0" fontId="67" fillId="0" borderId="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4" fillId="23" borderId="14" applyNumberFormat="0" applyAlignment="0" applyProtection="0"/>
    <xf numFmtId="0" fontId="54" fillId="23" borderId="14" applyNumberFormat="0" applyAlignment="0" applyProtection="0"/>
    <xf numFmtId="0" fontId="34" fillId="23" borderId="16" applyNumberFormat="0" applyAlignment="0" applyProtection="0"/>
    <xf numFmtId="0" fontId="71" fillId="23" borderId="16" applyNumberFormat="0" applyAlignment="0" applyProtection="0"/>
    <xf numFmtId="0" fontId="54" fillId="23" borderId="16" applyNumberFormat="0" applyAlignment="0" applyProtection="0"/>
    <xf numFmtId="0" fontId="54" fillId="23" borderId="16" applyNumberFormat="0" applyAlignment="0" applyProtection="0"/>
    <xf numFmtId="0" fontId="58" fillId="0" borderId="4" applyNumberFormat="0" applyFill="0" applyAlignment="0" applyProtection="0"/>
    <xf numFmtId="0" fontId="74" fillId="0" borderId="4" applyNumberFormat="0" applyFill="0" applyAlignment="0" applyProtection="0"/>
    <xf numFmtId="0" fontId="34" fillId="23" borderId="16" applyNumberFormat="0" applyAlignment="0" applyProtection="0"/>
    <xf numFmtId="0" fontId="54" fillId="23" borderId="16" applyNumberFormat="0" applyAlignment="0" applyProtection="0"/>
    <xf numFmtId="0" fontId="34" fillId="23" borderId="16" applyNumberFormat="0" applyAlignment="0" applyProtection="0"/>
    <xf numFmtId="0" fontId="71" fillId="23" borderId="16" applyNumberFormat="0" applyAlignment="0" applyProtection="0"/>
    <xf numFmtId="0" fontId="54" fillId="23" borderId="16" applyNumberFormat="0" applyAlignment="0" applyProtection="0"/>
    <xf numFmtId="0" fontId="111" fillId="0" borderId="0"/>
    <xf numFmtId="9" fontId="111" fillId="0" borderId="0" applyFont="0" applyFill="0" applyBorder="0" applyAlignment="0" applyProtection="0"/>
    <xf numFmtId="0" fontId="111" fillId="36" borderId="0" applyNumberFormat="0" applyFont="0" applyBorder="0" applyAlignment="0" applyProtection="0"/>
    <xf numFmtId="0" fontId="111" fillId="36" borderId="0" applyNumberFormat="0" applyFont="0" applyBorder="0" applyAlignment="0" applyProtection="0"/>
    <xf numFmtId="0" fontId="111" fillId="37" borderId="0" applyNumberFormat="0" applyFont="0" applyBorder="0" applyAlignment="0" applyProtection="0"/>
    <xf numFmtId="0" fontId="111" fillId="36" borderId="0" applyNumberFormat="0" applyFont="0" applyBorder="0" applyAlignment="0" applyProtection="0"/>
    <xf numFmtId="0" fontId="111" fillId="36" borderId="0" applyNumberFormat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Border="0" applyProtection="0"/>
    <xf numFmtId="0" fontId="114" fillId="0" borderId="0" applyNumberFormat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5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4" fillId="23" borderId="16" applyNumberFormat="0" applyAlignment="0" applyProtection="0"/>
    <xf numFmtId="0" fontId="54" fillId="23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54" fillId="23" borderId="16" applyNumberFormat="0" applyAlignment="0" applyProtection="0"/>
    <xf numFmtId="0" fontId="54" fillId="23" borderId="16" applyNumberFormat="0" applyAlignment="0" applyProtection="0"/>
    <xf numFmtId="0" fontId="1" fillId="0" borderId="0"/>
    <xf numFmtId="0" fontId="71" fillId="23" borderId="16" applyNumberFormat="0" applyAlignment="0" applyProtection="0"/>
    <xf numFmtId="0" fontId="34" fillId="23" borderId="16" applyNumberFormat="0" applyAlignment="0" applyProtection="0"/>
    <xf numFmtId="0" fontId="54" fillId="23" borderId="16" applyNumberFormat="0" applyAlignment="0" applyProtection="0"/>
    <xf numFmtId="0" fontId="34" fillId="23" borderId="16" applyNumberFormat="0" applyAlignment="0" applyProtection="0"/>
    <xf numFmtId="0" fontId="1" fillId="0" borderId="0"/>
    <xf numFmtId="0" fontId="71" fillId="23" borderId="16" applyNumberFormat="0" applyAlignment="0" applyProtection="0"/>
    <xf numFmtId="0" fontId="1" fillId="0" borderId="0"/>
    <xf numFmtId="0" fontId="34" fillId="23" borderId="16" applyNumberFormat="0" applyAlignment="0" applyProtection="0"/>
    <xf numFmtId="0" fontId="54" fillId="23" borderId="16" applyNumberFormat="0" applyAlignment="0" applyProtection="0"/>
    <xf numFmtId="0" fontId="54" fillId="23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34" fillId="23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3" borderId="1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23" borderId="16" applyNumberFormat="0" applyAlignment="0" applyProtection="0"/>
    <xf numFmtId="0" fontId="54" fillId="23" borderId="16" applyNumberFormat="0" applyAlignment="0" applyProtection="0"/>
    <xf numFmtId="0" fontId="58" fillId="0" borderId="15" applyNumberFormat="0" applyFill="0" applyAlignment="0" applyProtection="0"/>
    <xf numFmtId="0" fontId="74" fillId="0" borderId="15" applyNumberFormat="0" applyFill="0" applyAlignment="0" applyProtection="0"/>
  </cellStyleXfs>
  <cellXfs count="25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165" fontId="7" fillId="0" borderId="0" xfId="0" applyNumberFormat="1" applyFont="1"/>
    <xf numFmtId="0" fontId="11" fillId="0" borderId="0" xfId="0" applyFont="1"/>
    <xf numFmtId="165" fontId="8" fillId="0" borderId="0" xfId="0" applyNumberFormat="1" applyFont="1"/>
    <xf numFmtId="0" fontId="8" fillId="0" borderId="0" xfId="0" applyFont="1"/>
    <xf numFmtId="165" fontId="10" fillId="0" borderId="0" xfId="0" applyNumberFormat="1" applyFont="1"/>
    <xf numFmtId="0" fontId="10" fillId="0" borderId="0" xfId="0" applyFont="1"/>
    <xf numFmtId="0" fontId="14" fillId="0" borderId="0" xfId="0" applyFont="1"/>
    <xf numFmtId="168" fontId="7" fillId="0" borderId="0" xfId="0" applyNumberFormat="1" applyFont="1"/>
    <xf numFmtId="169" fontId="7" fillId="0" borderId="0" xfId="0" applyNumberFormat="1" applyFont="1"/>
    <xf numFmtId="2" fontId="7" fillId="0" borderId="0" xfId="0" applyNumberFormat="1" applyFont="1"/>
    <xf numFmtId="2" fontId="8" fillId="0" borderId="0" xfId="0" applyNumberFormat="1" applyFont="1"/>
    <xf numFmtId="167" fontId="10" fillId="0" borderId="0" xfId="0" applyNumberFormat="1" applyFont="1"/>
    <xf numFmtId="167" fontId="17" fillId="0" borderId="0" xfId="0" applyNumberFormat="1" applyFont="1"/>
    <xf numFmtId="167" fontId="18" fillId="0" borderId="0" xfId="0" applyNumberFormat="1" applyFont="1"/>
    <xf numFmtId="0" fontId="13" fillId="0" borderId="0" xfId="0" applyFont="1"/>
    <xf numFmtId="0" fontId="19" fillId="0" borderId="0" xfId="0" applyFont="1"/>
    <xf numFmtId="169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20" fillId="0" borderId="0" xfId="0" applyFont="1"/>
    <xf numFmtId="169" fontId="10" fillId="0" borderId="0" xfId="0" applyNumberFormat="1" applyFont="1"/>
    <xf numFmtId="0" fontId="7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0" fontId="16" fillId="0" borderId="0" xfId="0" applyFont="1"/>
    <xf numFmtId="0" fontId="15" fillId="0" borderId="0" xfId="0" applyFont="1" applyAlignment="1">
      <alignment horizontal="center"/>
    </xf>
    <xf numFmtId="0" fontId="21" fillId="0" borderId="0" xfId="0" applyFont="1"/>
    <xf numFmtId="168" fontId="19" fillId="0" borderId="0" xfId="0" applyNumberFormat="1" applyFont="1"/>
    <xf numFmtId="0" fontId="19" fillId="0" borderId="0" xfId="3" applyFont="1"/>
    <xf numFmtId="2" fontId="19" fillId="0" borderId="0" xfId="0" applyNumberFormat="1" applyFont="1"/>
    <xf numFmtId="2" fontId="19" fillId="0" borderId="0" xfId="3" applyNumberFormat="1" applyFont="1"/>
    <xf numFmtId="0" fontId="19" fillId="8" borderId="0" xfId="0" applyFont="1" applyFill="1"/>
    <xf numFmtId="167" fontId="19" fillId="0" borderId="0" xfId="0" applyNumberFormat="1" applyFont="1"/>
    <xf numFmtId="0" fontId="13" fillId="2" borderId="0" xfId="0" applyFont="1" applyFill="1"/>
    <xf numFmtId="0" fontId="19" fillId="2" borderId="0" xfId="0" applyFont="1" applyFill="1"/>
    <xf numFmtId="0" fontId="22" fillId="0" borderId="0" xfId="0" applyFont="1"/>
    <xf numFmtId="0" fontId="19" fillId="6" borderId="0" xfId="0" applyFont="1" applyFill="1"/>
    <xf numFmtId="0" fontId="23" fillId="0" borderId="0" xfId="0" applyFont="1" applyAlignment="1">
      <alignment horizontal="left"/>
    </xf>
    <xf numFmtId="3" fontId="19" fillId="2" borderId="0" xfId="0" applyNumberFormat="1" applyFont="1" applyFill="1"/>
    <xf numFmtId="165" fontId="13" fillId="0" borderId="0" xfId="0" applyNumberFormat="1" applyFont="1"/>
    <xf numFmtId="165" fontId="19" fillId="0" borderId="0" xfId="0" applyNumberFormat="1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2" fillId="8" borderId="0" xfId="0" applyFont="1" applyFill="1"/>
    <xf numFmtId="0" fontId="27" fillId="0" borderId="0" xfId="0" applyFont="1" applyAlignment="1">
      <alignment horizontal="center"/>
    </xf>
    <xf numFmtId="0" fontId="28" fillId="0" borderId="0" xfId="0" applyFont="1"/>
    <xf numFmtId="3" fontId="19" fillId="0" borderId="0" xfId="0" applyNumberFormat="1" applyFont="1"/>
    <xf numFmtId="1" fontId="19" fillId="0" borderId="0" xfId="0" applyNumberFormat="1" applyFont="1"/>
    <xf numFmtId="0" fontId="29" fillId="0" borderId="0" xfId="0" applyFont="1"/>
    <xf numFmtId="0" fontId="17" fillId="0" borderId="0" xfId="0" applyFont="1"/>
    <xf numFmtId="3" fontId="8" fillId="0" borderId="0" xfId="0" applyNumberFormat="1" applyFont="1"/>
    <xf numFmtId="165" fontId="7" fillId="32" borderId="0" xfId="0" applyNumberFormat="1" applyFont="1" applyFill="1"/>
    <xf numFmtId="0" fontId="50" fillId="32" borderId="0" xfId="0" applyFont="1" applyFill="1"/>
    <xf numFmtId="0" fontId="17" fillId="32" borderId="0" xfId="0" applyFont="1" applyFill="1"/>
    <xf numFmtId="0" fontId="19" fillId="0" borderId="0" xfId="0" applyFont="1" applyAlignment="1">
      <alignment horizontal="center" vertical="center"/>
    </xf>
    <xf numFmtId="0" fontId="86" fillId="32" borderId="0" xfId="0" applyFont="1" applyFill="1"/>
    <xf numFmtId="0" fontId="88" fillId="32" borderId="0" xfId="0" applyFont="1" applyFill="1"/>
    <xf numFmtId="0" fontId="29" fillId="32" borderId="0" xfId="0" applyFont="1" applyFill="1"/>
    <xf numFmtId="169" fontId="19" fillId="0" borderId="0" xfId="0" applyNumberFormat="1" applyFont="1"/>
    <xf numFmtId="0" fontId="89" fillId="32" borderId="0" xfId="0" applyFont="1" applyFill="1"/>
    <xf numFmtId="0" fontId="90" fillId="32" borderId="0" xfId="0" applyFont="1" applyFill="1"/>
    <xf numFmtId="0" fontId="84" fillId="31" borderId="0" xfId="0" applyFont="1" applyFill="1" applyAlignment="1">
      <alignment horizontal="left" vertical="center"/>
    </xf>
    <xf numFmtId="0" fontId="7" fillId="31" borderId="0" xfId="0" applyFont="1" applyFill="1"/>
    <xf numFmtId="0" fontId="8" fillId="33" borderId="0" xfId="0" applyFont="1" applyFill="1"/>
    <xf numFmtId="0" fontId="7" fillId="33" borderId="0" xfId="0" applyFont="1" applyFill="1"/>
    <xf numFmtId="0" fontId="10" fillId="33" borderId="0" xfId="0" applyFont="1" applyFill="1"/>
    <xf numFmtId="0" fontId="7" fillId="33" borderId="0" xfId="0" applyFont="1" applyFill="1" applyAlignment="1">
      <alignment horizontal="center"/>
    </xf>
    <xf numFmtId="165" fontId="8" fillId="33" borderId="0" xfId="0" applyNumberFormat="1" applyFont="1" applyFill="1"/>
    <xf numFmtId="165" fontId="7" fillId="33" borderId="0" xfId="0" applyNumberFormat="1" applyFont="1" applyFill="1"/>
    <xf numFmtId="169" fontId="10" fillId="33" borderId="0" xfId="0" applyNumberFormat="1" applyFont="1" applyFill="1"/>
    <xf numFmtId="0" fontId="7" fillId="31" borderId="11" xfId="0" applyFont="1" applyFill="1" applyBorder="1"/>
    <xf numFmtId="0" fontId="8" fillId="0" borderId="11" xfId="0" applyFont="1" applyBorder="1"/>
    <xf numFmtId="3" fontId="8" fillId="0" borderId="11" xfId="0" applyNumberFormat="1" applyFont="1" applyBorder="1" applyAlignment="1">
      <alignment horizontal="center"/>
    </xf>
    <xf numFmtId="3" fontId="8" fillId="0" borderId="11" xfId="0" applyNumberFormat="1" applyFont="1" applyBorder="1"/>
    <xf numFmtId="0" fontId="7" fillId="0" borderId="11" xfId="0" applyFont="1" applyBorder="1"/>
    <xf numFmtId="165" fontId="8" fillId="0" borderId="11" xfId="0" applyNumberFormat="1" applyFont="1" applyBorder="1"/>
    <xf numFmtId="165" fontId="10" fillId="0" borderId="11" xfId="0" applyNumberFormat="1" applyFont="1" applyBorder="1"/>
    <xf numFmtId="0" fontId="7" fillId="33" borderId="11" xfId="0" applyFont="1" applyFill="1" applyBorder="1"/>
    <xf numFmtId="0" fontId="7" fillId="33" borderId="11" xfId="0" applyFont="1" applyFill="1" applyBorder="1" applyAlignment="1">
      <alignment horizontal="center"/>
    </xf>
    <xf numFmtId="0" fontId="14" fillId="33" borderId="11" xfId="0" applyFont="1" applyFill="1" applyBorder="1"/>
    <xf numFmtId="0" fontId="8" fillId="33" borderId="11" xfId="0" applyFont="1" applyFill="1" applyBorder="1"/>
    <xf numFmtId="165" fontId="8" fillId="33" borderId="11" xfId="0" applyNumberFormat="1" applyFont="1" applyFill="1" applyBorder="1"/>
    <xf numFmtId="165" fontId="10" fillId="33" borderId="11" xfId="0" applyNumberFormat="1" applyFont="1" applyFill="1" applyBorder="1"/>
    <xf numFmtId="165" fontId="7" fillId="33" borderId="11" xfId="0" applyNumberFormat="1" applyFont="1" applyFill="1" applyBorder="1"/>
    <xf numFmtId="165" fontId="14" fillId="33" borderId="11" xfId="0" applyNumberFormat="1" applyFont="1" applyFill="1" applyBorder="1"/>
    <xf numFmtId="0" fontId="10" fillId="33" borderId="11" xfId="0" applyFont="1" applyFill="1" applyBorder="1"/>
    <xf numFmtId="166" fontId="10" fillId="33" borderId="11" xfId="0" applyNumberFormat="1" applyFont="1" applyFill="1" applyBorder="1"/>
    <xf numFmtId="0" fontId="10" fillId="0" borderId="11" xfId="0" applyFont="1" applyBorder="1"/>
    <xf numFmtId="166" fontId="8" fillId="0" borderId="11" xfId="0" applyNumberFormat="1" applyFont="1" applyBorder="1"/>
    <xf numFmtId="165" fontId="7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0" fontId="13" fillId="31" borderId="0" xfId="0" applyFont="1" applyFill="1" applyAlignment="1">
      <alignment horizontal="center" vertical="center"/>
    </xf>
    <xf numFmtId="169" fontId="8" fillId="0" borderId="11" xfId="0" applyNumberFormat="1" applyFont="1" applyBorder="1" applyAlignment="1">
      <alignment horizontal="right"/>
    </xf>
    <xf numFmtId="169" fontId="8" fillId="0" borderId="11" xfId="0" applyNumberFormat="1" applyFont="1" applyBorder="1" applyAlignment="1">
      <alignment horizontal="center"/>
    </xf>
    <xf numFmtId="169" fontId="8" fillId="0" borderId="11" xfId="0" applyNumberFormat="1" applyFont="1" applyBorder="1"/>
    <xf numFmtId="169" fontId="10" fillId="33" borderId="11" xfId="0" applyNumberFormat="1" applyFont="1" applyFill="1" applyBorder="1"/>
    <xf numFmtId="169" fontId="10" fillId="0" borderId="11" xfId="0" applyNumberFormat="1" applyFont="1" applyBorder="1"/>
    <xf numFmtId="0" fontId="13" fillId="31" borderId="1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31" borderId="12" xfId="0" applyFont="1" applyFill="1" applyBorder="1" applyAlignment="1">
      <alignment horizontal="center"/>
    </xf>
    <xf numFmtId="0" fontId="13" fillId="31" borderId="0" xfId="0" applyFont="1" applyFill="1" applyAlignment="1">
      <alignment horizontal="center"/>
    </xf>
    <xf numFmtId="0" fontId="25" fillId="7" borderId="0" xfId="0" applyFont="1" applyFill="1"/>
    <xf numFmtId="0" fontId="85" fillId="34" borderId="0" xfId="0" applyFont="1" applyFill="1"/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left" indent="5"/>
    </xf>
    <xf numFmtId="169" fontId="7" fillId="0" borderId="0" xfId="0" applyNumberFormat="1" applyFont="1" applyAlignment="1">
      <alignment shrinkToFit="1"/>
    </xf>
    <xf numFmtId="0" fontId="28" fillId="8" borderId="0" xfId="0" applyFont="1" applyFill="1"/>
    <xf numFmtId="2" fontId="87" fillId="0" borderId="0" xfId="0" applyNumberFormat="1" applyFont="1"/>
    <xf numFmtId="0" fontId="91" fillId="0" borderId="0" xfId="0" applyFont="1"/>
    <xf numFmtId="1" fontId="19" fillId="6" borderId="0" xfId="0" applyNumberFormat="1" applyFont="1" applyFill="1" applyAlignment="1">
      <alignment shrinkToFit="1"/>
    </xf>
    <xf numFmtId="0" fontId="22" fillId="2" borderId="0" xfId="0" applyFont="1" applyFill="1"/>
    <xf numFmtId="168" fontId="22" fillId="0" borderId="0" xfId="0" applyNumberFormat="1" applyFont="1"/>
    <xf numFmtId="2" fontId="22" fillId="0" borderId="0" xfId="0" applyNumberFormat="1" applyFont="1"/>
    <xf numFmtId="1" fontId="22" fillId="0" borderId="0" xfId="0" applyNumberFormat="1" applyFont="1"/>
    <xf numFmtId="0" fontId="92" fillId="0" borderId="0" xfId="0" applyFont="1"/>
    <xf numFmtId="169" fontId="22" fillId="0" borderId="0" xfId="0" applyNumberFormat="1" applyFont="1"/>
    <xf numFmtId="2" fontId="22" fillId="0" borderId="0" xfId="3" applyNumberFormat="1" applyFont="1"/>
    <xf numFmtId="0" fontId="13" fillId="31" borderId="13" xfId="0" applyFont="1" applyFill="1" applyBorder="1" applyAlignment="1">
      <alignment horizontal="center"/>
    </xf>
    <xf numFmtId="169" fontId="7" fillId="0" borderId="0" xfId="0" applyNumberFormat="1" applyFont="1" applyAlignment="1">
      <alignment wrapText="1" shrinkToFit="1"/>
    </xf>
    <xf numFmtId="0" fontId="7" fillId="0" borderId="0" xfId="0" applyFont="1" applyAlignment="1">
      <alignment wrapText="1" shrinkToFit="1"/>
    </xf>
    <xf numFmtId="0" fontId="7" fillId="32" borderId="0" xfId="0" applyFont="1" applyFill="1"/>
    <xf numFmtId="169" fontId="7" fillId="32" borderId="0" xfId="0" applyNumberFormat="1" applyFont="1" applyFill="1"/>
    <xf numFmtId="0" fontId="18" fillId="0" borderId="0" xfId="0" applyFont="1"/>
    <xf numFmtId="0" fontId="86" fillId="0" borderId="0" xfId="0" applyFont="1"/>
    <xf numFmtId="0" fontId="28" fillId="0" borderId="0" xfId="0" applyFont="1" applyAlignment="1">
      <alignment wrapText="1"/>
    </xf>
    <xf numFmtId="0" fontId="94" fillId="32" borderId="0" xfId="0" applyFont="1" applyFill="1"/>
    <xf numFmtId="0" fontId="13" fillId="35" borderId="11" xfId="0" applyFont="1" applyFill="1" applyBorder="1" applyAlignment="1">
      <alignment horizontal="center"/>
    </xf>
    <xf numFmtId="0" fontId="96" fillId="0" borderId="0" xfId="0" applyFont="1"/>
    <xf numFmtId="166" fontId="10" fillId="0" borderId="11" xfId="0" applyNumberFormat="1" applyFont="1" applyBorder="1"/>
    <xf numFmtId="0" fontId="97" fillId="32" borderId="0" xfId="0" applyFont="1" applyFill="1"/>
    <xf numFmtId="0" fontId="98" fillId="32" borderId="0" xfId="0" applyFont="1" applyFill="1"/>
    <xf numFmtId="168" fontId="49" fillId="0" borderId="0" xfId="0" applyNumberFormat="1" applyFont="1"/>
    <xf numFmtId="0" fontId="49" fillId="0" borderId="0" xfId="0" applyFont="1"/>
    <xf numFmtId="2" fontId="49" fillId="0" borderId="0" xfId="0" applyNumberFormat="1" applyFont="1"/>
    <xf numFmtId="0" fontId="19" fillId="0" borderId="0" xfId="0" quotePrefix="1" applyFont="1"/>
    <xf numFmtId="49" fontId="19" fillId="0" borderId="0" xfId="0" applyNumberFormat="1" applyFont="1"/>
    <xf numFmtId="49" fontId="49" fillId="0" borderId="0" xfId="0" applyNumberFormat="1" applyFont="1"/>
    <xf numFmtId="0" fontId="13" fillId="6" borderId="0" xfId="0" applyFont="1" applyFill="1"/>
    <xf numFmtId="0" fontId="19" fillId="7" borderId="0" xfId="0" applyFont="1" applyFill="1"/>
    <xf numFmtId="0" fontId="13" fillId="5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166" fontId="29" fillId="32" borderId="0" xfId="0" applyNumberFormat="1" applyFont="1" applyFill="1"/>
    <xf numFmtId="169" fontId="88" fillId="32" borderId="0" xfId="0" applyNumberFormat="1" applyFont="1" applyFill="1" applyAlignment="1">
      <alignment horizontal="center"/>
    </xf>
    <xf numFmtId="169" fontId="13" fillId="0" borderId="0" xfId="0" applyNumberFormat="1" applyFont="1" applyAlignment="1">
      <alignment horizontal="center"/>
    </xf>
    <xf numFmtId="0" fontId="49" fillId="2" borderId="0" xfId="0" applyFont="1" applyFill="1"/>
    <xf numFmtId="0" fontId="99" fillId="3" borderId="0" xfId="0" applyFont="1" applyFill="1"/>
    <xf numFmtId="0" fontId="10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4" fontId="100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right"/>
    </xf>
    <xf numFmtId="0" fontId="10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169" fontId="19" fillId="2" borderId="0" xfId="0" applyNumberFormat="1" applyFont="1" applyFill="1"/>
    <xf numFmtId="1" fontId="19" fillId="2" borderId="0" xfId="0" applyNumberFormat="1" applyFont="1" applyFill="1"/>
    <xf numFmtId="0" fontId="102" fillId="0" borderId="0" xfId="0" applyFont="1"/>
    <xf numFmtId="0" fontId="102" fillId="0" borderId="0" xfId="0" applyFont="1" applyAlignment="1">
      <alignment horizontal="center"/>
    </xf>
    <xf numFmtId="169" fontId="102" fillId="2" borderId="0" xfId="0" applyNumberFormat="1" applyFont="1" applyFill="1"/>
    <xf numFmtId="1" fontId="102" fillId="2" borderId="0" xfId="0" applyNumberFormat="1" applyFont="1" applyFill="1"/>
    <xf numFmtId="169" fontId="13" fillId="0" borderId="0" xfId="0" applyNumberFormat="1" applyFont="1"/>
    <xf numFmtId="169" fontId="100" fillId="0" borderId="0" xfId="0" applyNumberFormat="1" applyFont="1"/>
    <xf numFmtId="0" fontId="13" fillId="7" borderId="0" xfId="0" applyFont="1" applyFill="1"/>
    <xf numFmtId="169" fontId="49" fillId="0" borderId="0" xfId="0" applyNumberFormat="1" applyFont="1"/>
    <xf numFmtId="169" fontId="22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/>
    </xf>
    <xf numFmtId="169" fontId="103" fillId="0" borderId="0" xfId="0" applyNumberFormat="1" applyFont="1" applyAlignment="1">
      <alignment horizontal="right"/>
    </xf>
    <xf numFmtId="165" fontId="103" fillId="0" borderId="0" xfId="0" applyNumberFormat="1" applyFont="1" applyAlignment="1">
      <alignment horizontal="right"/>
    </xf>
    <xf numFmtId="0" fontId="92" fillId="7" borderId="0" xfId="0" applyFont="1" applyFill="1"/>
    <xf numFmtId="167" fontId="25" fillId="7" borderId="0" xfId="0" applyNumberFormat="1" applyFont="1" applyFill="1"/>
    <xf numFmtId="167" fontId="104" fillId="7" borderId="0" xfId="0" applyNumberFormat="1" applyFont="1" applyFill="1"/>
    <xf numFmtId="169" fontId="22" fillId="7" borderId="0" xfId="0" applyNumberFormat="1" applyFont="1" applyFill="1"/>
    <xf numFmtId="169" fontId="105" fillId="7" borderId="0" xfId="0" applyNumberFormat="1" applyFont="1" applyFill="1" applyAlignment="1">
      <alignment horizontal="right"/>
    </xf>
    <xf numFmtId="166" fontId="105" fillId="7" borderId="0" xfId="0" applyNumberFormat="1" applyFont="1" applyFill="1" applyAlignment="1">
      <alignment horizontal="right"/>
    </xf>
    <xf numFmtId="167" fontId="13" fillId="0" borderId="0" xfId="0" applyNumberFormat="1" applyFont="1"/>
    <xf numFmtId="169" fontId="20" fillId="0" borderId="0" xfId="0" applyNumberFormat="1" applyFont="1"/>
    <xf numFmtId="0" fontId="19" fillId="34" borderId="0" xfId="0" applyFont="1" applyFill="1"/>
    <xf numFmtId="169" fontId="19" fillId="34" borderId="0" xfId="0" applyNumberFormat="1" applyFont="1" applyFill="1"/>
    <xf numFmtId="165" fontId="19" fillId="34" borderId="0" xfId="0" applyNumberFormat="1" applyFont="1" applyFill="1" applyAlignment="1">
      <alignment horizontal="left"/>
    </xf>
    <xf numFmtId="1" fontId="19" fillId="34" borderId="0" xfId="0" applyNumberFormat="1" applyFont="1" applyFill="1"/>
    <xf numFmtId="165" fontId="19" fillId="0" borderId="0" xfId="0" applyNumberFormat="1" applyFont="1" applyAlignment="1">
      <alignment horizontal="right"/>
    </xf>
    <xf numFmtId="167" fontId="20" fillId="0" borderId="0" xfId="0" applyNumberFormat="1" applyFont="1"/>
    <xf numFmtId="167" fontId="104" fillId="0" borderId="0" xfId="0" applyNumberFormat="1" applyFont="1"/>
    <xf numFmtId="4" fontId="103" fillId="0" borderId="0" xfId="0" applyNumberFormat="1" applyFont="1"/>
    <xf numFmtId="0" fontId="20" fillId="7" borderId="0" xfId="0" applyFont="1" applyFill="1"/>
    <xf numFmtId="3" fontId="103" fillId="0" borderId="0" xfId="0" quotePrefix="1" applyNumberFormat="1" applyFont="1"/>
    <xf numFmtId="3" fontId="103" fillId="0" borderId="0" xfId="0" applyNumberFormat="1" applyFont="1"/>
    <xf numFmtId="165" fontId="13" fillId="0" borderId="0" xfId="0" applyNumberFormat="1" applyFont="1" applyAlignment="1">
      <alignment horizontal="right"/>
    </xf>
    <xf numFmtId="3" fontId="103" fillId="34" borderId="0" xfId="0" applyNumberFormat="1" applyFont="1" applyFill="1"/>
    <xf numFmtId="2" fontId="103" fillId="0" borderId="0" xfId="0" applyNumberFormat="1" applyFont="1"/>
    <xf numFmtId="2" fontId="103" fillId="34" borderId="0" xfId="0" applyNumberFormat="1" applyFont="1" applyFill="1"/>
    <xf numFmtId="165" fontId="106" fillId="0" borderId="0" xfId="0" applyNumberFormat="1" applyFont="1" applyAlignment="1">
      <alignment horizontal="right"/>
    </xf>
    <xf numFmtId="165" fontId="103" fillId="0" borderId="0" xfId="0" applyNumberFormat="1" applyFont="1" applyAlignment="1">
      <alignment horizontal="left"/>
    </xf>
    <xf numFmtId="167" fontId="19" fillId="2" borderId="0" xfId="0" applyNumberFormat="1" applyFont="1" applyFill="1"/>
    <xf numFmtId="165" fontId="85" fillId="34" borderId="0" xfId="0" applyNumberFormat="1" applyFont="1" applyFill="1" applyAlignment="1">
      <alignment horizontal="left"/>
    </xf>
    <xf numFmtId="165" fontId="85" fillId="34" borderId="0" xfId="0" applyNumberFormat="1" applyFont="1" applyFill="1" applyAlignment="1">
      <alignment horizontal="right"/>
    </xf>
    <xf numFmtId="165" fontId="106" fillId="0" borderId="0" xfId="0" applyNumberFormat="1" applyFont="1" applyAlignment="1">
      <alignment horizontal="left"/>
    </xf>
    <xf numFmtId="2" fontId="13" fillId="0" borderId="0" xfId="0" applyNumberFormat="1" applyFont="1"/>
    <xf numFmtId="169" fontId="107" fillId="34" borderId="0" xfId="0" applyNumberFormat="1" applyFont="1" applyFill="1"/>
    <xf numFmtId="165" fontId="107" fillId="0" borderId="0" xfId="0" applyNumberFormat="1" applyFont="1" applyAlignment="1">
      <alignment horizontal="right"/>
    </xf>
    <xf numFmtId="0" fontId="19" fillId="4" borderId="0" xfId="0" applyFont="1" applyFill="1"/>
    <xf numFmtId="3" fontId="100" fillId="0" borderId="0" xfId="0" applyNumberFormat="1" applyFont="1" applyAlignment="1">
      <alignment horizontal="center"/>
    </xf>
    <xf numFmtId="169" fontId="13" fillId="0" borderId="0" xfId="0" applyNumberFormat="1" applyFont="1" applyAlignment="1">
      <alignment horizontal="right"/>
    </xf>
    <xf numFmtId="169" fontId="19" fillId="0" borderId="0" xfId="0" applyNumberFormat="1" applyFont="1" applyAlignment="1">
      <alignment horizontal="right"/>
    </xf>
    <xf numFmtId="167" fontId="25" fillId="0" borderId="0" xfId="0" applyNumberFormat="1" applyFont="1"/>
    <xf numFmtId="1" fontId="102" fillId="34" borderId="0" xfId="0" applyNumberFormat="1" applyFont="1" applyFill="1"/>
    <xf numFmtId="169" fontId="102" fillId="34" borderId="0" xfId="0" applyNumberFormat="1" applyFont="1" applyFill="1" applyAlignment="1">
      <alignment horizontal="right"/>
    </xf>
    <xf numFmtId="4" fontId="19" fillId="0" borderId="0" xfId="0" applyNumberFormat="1" applyFont="1"/>
    <xf numFmtId="165" fontId="13" fillId="34" borderId="0" xfId="0" applyNumberFormat="1" applyFont="1" applyFill="1" applyAlignment="1">
      <alignment horizontal="right"/>
    </xf>
    <xf numFmtId="169" fontId="19" fillId="6" borderId="0" xfId="0" applyNumberFormat="1" applyFont="1" applyFill="1"/>
    <xf numFmtId="165" fontId="49" fillId="0" borderId="0" xfId="0" applyNumberFormat="1" applyFont="1"/>
    <xf numFmtId="165" fontId="22" fillId="0" borderId="0" xfId="0" applyNumberFormat="1" applyFont="1"/>
    <xf numFmtId="166" fontId="25" fillId="0" borderId="0" xfId="0" applyNumberFormat="1" applyFont="1"/>
    <xf numFmtId="166" fontId="104" fillId="0" borderId="0" xfId="0" applyNumberFormat="1" applyFont="1"/>
    <xf numFmtId="166" fontId="19" fillId="0" borderId="0" xfId="0" applyNumberFormat="1" applyFont="1"/>
    <xf numFmtId="165" fontId="100" fillId="0" borderId="0" xfId="0" applyNumberFormat="1" applyFont="1"/>
    <xf numFmtId="169" fontId="107" fillId="0" borderId="0" xfId="0" applyNumberFormat="1" applyFont="1"/>
    <xf numFmtId="2" fontId="19" fillId="2" borderId="0" xfId="0" applyNumberFormat="1" applyFont="1" applyFill="1"/>
    <xf numFmtId="167" fontId="20" fillId="7" borderId="0" xfId="0" applyNumberFormat="1" applyFont="1" applyFill="1"/>
    <xf numFmtId="169" fontId="24" fillId="0" borderId="0" xfId="0" applyNumberFormat="1" applyFont="1"/>
    <xf numFmtId="0" fontId="22" fillId="0" borderId="0" xfId="0" applyFont="1" applyAlignment="1">
      <alignment shrinkToFit="1"/>
    </xf>
    <xf numFmtId="4" fontId="13" fillId="0" borderId="0" xfId="0" applyNumberFormat="1" applyFont="1" applyAlignment="1">
      <alignment horizontal="center"/>
    </xf>
    <xf numFmtId="169" fontId="24" fillId="0" borderId="0" xfId="0" applyNumberFormat="1" applyFont="1" applyAlignment="1">
      <alignment horizontal="center"/>
    </xf>
    <xf numFmtId="168" fontId="22" fillId="8" borderId="0" xfId="0" applyNumberFormat="1" applyFont="1" applyFill="1"/>
    <xf numFmtId="0" fontId="10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8" borderId="0" xfId="0" applyFont="1" applyFill="1"/>
    <xf numFmtId="0" fontId="13" fillId="8" borderId="0" xfId="0" applyFont="1" applyFill="1"/>
    <xf numFmtId="1" fontId="87" fillId="8" borderId="0" xfId="0" applyNumberFormat="1" applyFont="1" applyFill="1"/>
    <xf numFmtId="2" fontId="100" fillId="0" borderId="0" xfId="0" applyNumberFormat="1" applyFont="1"/>
    <xf numFmtId="0" fontId="13" fillId="31" borderId="11" xfId="0" applyFont="1" applyFill="1" applyBorder="1" applyAlignment="1">
      <alignment horizontal="center" wrapText="1"/>
    </xf>
    <xf numFmtId="0" fontId="116" fillId="6" borderId="0" xfId="0" applyFont="1" applyFill="1" applyAlignment="1">
      <alignment horizontal="left"/>
    </xf>
    <xf numFmtId="0" fontId="115" fillId="32" borderId="0" xfId="0" applyFont="1" applyFill="1" applyAlignment="1">
      <alignment horizontal="left"/>
    </xf>
    <xf numFmtId="0" fontId="13" fillId="31" borderId="11" xfId="0" applyFont="1" applyFill="1" applyBorder="1" applyAlignment="1">
      <alignment horizontal="center" wrapText="1"/>
    </xf>
    <xf numFmtId="0" fontId="87" fillId="31" borderId="11" xfId="0" applyFont="1" applyFill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0" fontId="87" fillId="0" borderId="0" xfId="0" applyFont="1" applyAlignment="1">
      <alignment horizontal="left" wrapText="1"/>
    </xf>
    <xf numFmtId="49" fontId="13" fillId="0" borderId="0" xfId="0" applyNumberFormat="1" applyFont="1" applyAlignment="1">
      <alignment wrapText="1" shrinkToFit="1"/>
    </xf>
    <xf numFmtId="49" fontId="95" fillId="0" borderId="0" xfId="0" applyNumberFormat="1" applyFont="1" applyAlignment="1">
      <alignment wrapText="1" shrinkToFit="1"/>
    </xf>
    <xf numFmtId="165" fontId="88" fillId="32" borderId="0" xfId="0" applyNumberFormat="1" applyFont="1" applyFill="1"/>
    <xf numFmtId="0" fontId="93" fillId="32" borderId="0" xfId="0" applyFont="1" applyFill="1"/>
    <xf numFmtId="165" fontId="13" fillId="0" borderId="0" xfId="0" applyNumberFormat="1" applyFont="1" applyAlignment="1">
      <alignment wrapText="1" shrinkToFit="1"/>
    </xf>
    <xf numFmtId="0" fontId="95" fillId="0" borderId="0" xfId="0" applyFont="1" applyAlignment="1">
      <alignment wrapText="1" shrinkToFit="1"/>
    </xf>
    <xf numFmtId="165" fontId="19" fillId="0" borderId="0" xfId="0" applyNumberFormat="1" applyFont="1" applyAlignment="1">
      <alignment wrapText="1" shrinkToFit="1"/>
    </xf>
    <xf numFmtId="0" fontId="87" fillId="0" borderId="0" xfId="0" applyFont="1" applyAlignment="1">
      <alignment wrapText="1" shrinkToFit="1"/>
    </xf>
    <xf numFmtId="165" fontId="88" fillId="32" borderId="0" xfId="0" applyNumberFormat="1" applyFont="1" applyFill="1" applyAlignment="1">
      <alignment wrapText="1" shrinkToFit="1"/>
    </xf>
    <xf numFmtId="0" fontId="93" fillId="32" borderId="0" xfId="0" applyFont="1" applyFill="1" applyAlignment="1">
      <alignment wrapText="1" shrinkToFit="1"/>
    </xf>
    <xf numFmtId="165" fontId="7" fillId="0" borderId="0" xfId="0" applyNumberFormat="1" applyFont="1"/>
    <xf numFmtId="0" fontId="0" fillId="0" borderId="0" xfId="0"/>
    <xf numFmtId="49" fontId="19" fillId="0" borderId="0" xfId="0" applyNumberFormat="1" applyFont="1" applyAlignment="1">
      <alignment wrapText="1" shrinkToFit="1"/>
    </xf>
    <xf numFmtId="49" fontId="87" fillId="0" borderId="0" xfId="0" applyNumberFormat="1" applyFont="1" applyAlignment="1">
      <alignment wrapText="1" shrinkToFit="1"/>
    </xf>
    <xf numFmtId="0" fontId="109" fillId="7" borderId="0" xfId="0" applyFont="1" applyFill="1" applyAlignment="1">
      <alignment wrapText="1"/>
    </xf>
    <xf numFmtId="0" fontId="110" fillId="0" borderId="0" xfId="0" applyFont="1" applyAlignment="1">
      <alignment wrapText="1"/>
    </xf>
  </cellXfs>
  <cellStyles count="373">
    <cellStyle name="20 % – Poudarek1 2" xfId="7" xr:uid="{00000000-0005-0000-0000-000000000000}"/>
    <cellStyle name="20 % – Poudarek1 2 2" xfId="97" xr:uid="{00000000-0005-0000-0000-000001000000}"/>
    <cellStyle name="20 % – Poudarek1 2 3" xfId="144" xr:uid="{00000000-0005-0000-0000-000002000000}"/>
    <cellStyle name="20 % – Poudarek1 3" xfId="55" xr:uid="{00000000-0005-0000-0000-000003000000}"/>
    <cellStyle name="20 % – Poudarek2 2" xfId="8" xr:uid="{00000000-0005-0000-0000-000004000000}"/>
    <cellStyle name="20 % – Poudarek2 2 2" xfId="98" xr:uid="{00000000-0005-0000-0000-000005000000}"/>
    <cellStyle name="20 % – Poudarek2 2 3" xfId="145" xr:uid="{00000000-0005-0000-0000-000006000000}"/>
    <cellStyle name="20 % – Poudarek2 3" xfId="56" xr:uid="{00000000-0005-0000-0000-000007000000}"/>
    <cellStyle name="20 % – Poudarek3 2" xfId="9" xr:uid="{00000000-0005-0000-0000-000008000000}"/>
    <cellStyle name="20 % – Poudarek3 2 2" xfId="99" xr:uid="{00000000-0005-0000-0000-000009000000}"/>
    <cellStyle name="20 % – Poudarek3 2 3" xfId="146" xr:uid="{00000000-0005-0000-0000-00000A000000}"/>
    <cellStyle name="20 % – Poudarek3 3" xfId="57" xr:uid="{00000000-0005-0000-0000-00000B000000}"/>
    <cellStyle name="20 % – Poudarek4 2" xfId="10" xr:uid="{00000000-0005-0000-0000-00000C000000}"/>
    <cellStyle name="20 % – Poudarek4 2 2" xfId="100" xr:uid="{00000000-0005-0000-0000-00000D000000}"/>
    <cellStyle name="20 % – Poudarek4 2 3" xfId="147" xr:uid="{00000000-0005-0000-0000-00000E000000}"/>
    <cellStyle name="20 % – Poudarek4 3" xfId="58" xr:uid="{00000000-0005-0000-0000-00000F000000}"/>
    <cellStyle name="20 % – Poudarek5 2" xfId="11" xr:uid="{00000000-0005-0000-0000-000010000000}"/>
    <cellStyle name="20 % – Poudarek5 2 2" xfId="101" xr:uid="{00000000-0005-0000-0000-000011000000}"/>
    <cellStyle name="20 % – Poudarek5 2 3" xfId="148" xr:uid="{00000000-0005-0000-0000-000012000000}"/>
    <cellStyle name="20 % – Poudarek5 3" xfId="59" xr:uid="{00000000-0005-0000-0000-000013000000}"/>
    <cellStyle name="20 % – Poudarek6 2" xfId="12" xr:uid="{00000000-0005-0000-0000-000014000000}"/>
    <cellStyle name="20 % – Poudarek6 2 2" xfId="102" xr:uid="{00000000-0005-0000-0000-000015000000}"/>
    <cellStyle name="20 % – Poudarek6 2 3" xfId="149" xr:uid="{00000000-0005-0000-0000-000016000000}"/>
    <cellStyle name="20 % – Poudarek6 3" xfId="60" xr:uid="{00000000-0005-0000-0000-000017000000}"/>
    <cellStyle name="40 % – Poudarek1 2" xfId="13" xr:uid="{00000000-0005-0000-0000-000018000000}"/>
    <cellStyle name="40 % – Poudarek1 2 2" xfId="103" xr:uid="{00000000-0005-0000-0000-000019000000}"/>
    <cellStyle name="40 % – Poudarek1 2 3" xfId="150" xr:uid="{00000000-0005-0000-0000-00001A000000}"/>
    <cellStyle name="40 % – Poudarek1 3" xfId="61" xr:uid="{00000000-0005-0000-0000-00001B000000}"/>
    <cellStyle name="40 % – Poudarek2 2" xfId="14" xr:uid="{00000000-0005-0000-0000-00001C000000}"/>
    <cellStyle name="40 % – Poudarek2 2 2" xfId="104" xr:uid="{00000000-0005-0000-0000-00001D000000}"/>
    <cellStyle name="40 % – Poudarek2 2 3" xfId="151" xr:uid="{00000000-0005-0000-0000-00001E000000}"/>
    <cellStyle name="40 % – Poudarek2 3" xfId="62" xr:uid="{00000000-0005-0000-0000-00001F000000}"/>
    <cellStyle name="40 % – Poudarek3 2" xfId="15" xr:uid="{00000000-0005-0000-0000-000020000000}"/>
    <cellStyle name="40 % – Poudarek3 2 2" xfId="105" xr:uid="{00000000-0005-0000-0000-000021000000}"/>
    <cellStyle name="40 % – Poudarek3 2 3" xfId="152" xr:uid="{00000000-0005-0000-0000-000022000000}"/>
    <cellStyle name="40 % – Poudarek3 3" xfId="63" xr:uid="{00000000-0005-0000-0000-000023000000}"/>
    <cellStyle name="40 % – Poudarek4 2" xfId="16" xr:uid="{00000000-0005-0000-0000-000024000000}"/>
    <cellStyle name="40 % – Poudarek4 2 2" xfId="106" xr:uid="{00000000-0005-0000-0000-000025000000}"/>
    <cellStyle name="40 % – Poudarek4 2 3" xfId="153" xr:uid="{00000000-0005-0000-0000-000026000000}"/>
    <cellStyle name="40 % – Poudarek4 3" xfId="64" xr:uid="{00000000-0005-0000-0000-000027000000}"/>
    <cellStyle name="40 % – Poudarek5 2" xfId="17" xr:uid="{00000000-0005-0000-0000-000028000000}"/>
    <cellStyle name="40 % – Poudarek5 2 2" xfId="107" xr:uid="{00000000-0005-0000-0000-000029000000}"/>
    <cellStyle name="40 % – Poudarek5 2 3" xfId="154" xr:uid="{00000000-0005-0000-0000-00002A000000}"/>
    <cellStyle name="40 % – Poudarek5 3" xfId="65" xr:uid="{00000000-0005-0000-0000-00002B000000}"/>
    <cellStyle name="40 % – Poudarek6 2" xfId="18" xr:uid="{00000000-0005-0000-0000-00002C000000}"/>
    <cellStyle name="40 % – Poudarek6 2 2" xfId="108" xr:uid="{00000000-0005-0000-0000-00002D000000}"/>
    <cellStyle name="40 % – Poudarek6 2 3" xfId="155" xr:uid="{00000000-0005-0000-0000-00002E000000}"/>
    <cellStyle name="40 % – Poudarek6 3" xfId="66" xr:uid="{00000000-0005-0000-0000-00002F000000}"/>
    <cellStyle name="60 % – Poudarek1 2" xfId="19" xr:uid="{00000000-0005-0000-0000-000030000000}"/>
    <cellStyle name="60 % – Poudarek1 2 2" xfId="109" xr:uid="{00000000-0005-0000-0000-000031000000}"/>
    <cellStyle name="60 % – Poudarek1 2 3" xfId="156" xr:uid="{00000000-0005-0000-0000-000032000000}"/>
    <cellStyle name="60 % – Poudarek1 3" xfId="67" xr:uid="{00000000-0005-0000-0000-000033000000}"/>
    <cellStyle name="60 % – Poudarek2 2" xfId="20" xr:uid="{00000000-0005-0000-0000-000034000000}"/>
    <cellStyle name="60 % – Poudarek2 2 2" xfId="110" xr:uid="{00000000-0005-0000-0000-000035000000}"/>
    <cellStyle name="60 % – Poudarek2 2 3" xfId="157" xr:uid="{00000000-0005-0000-0000-000036000000}"/>
    <cellStyle name="60 % – Poudarek2 3" xfId="68" xr:uid="{00000000-0005-0000-0000-000037000000}"/>
    <cellStyle name="60 % – Poudarek3 2" xfId="21" xr:uid="{00000000-0005-0000-0000-000038000000}"/>
    <cellStyle name="60 % – Poudarek3 2 2" xfId="111" xr:uid="{00000000-0005-0000-0000-000039000000}"/>
    <cellStyle name="60 % – Poudarek3 2 3" xfId="158" xr:uid="{00000000-0005-0000-0000-00003A000000}"/>
    <cellStyle name="60 % – Poudarek3 3" xfId="69" xr:uid="{00000000-0005-0000-0000-00003B000000}"/>
    <cellStyle name="60 % – Poudarek4 2" xfId="22" xr:uid="{00000000-0005-0000-0000-00003C000000}"/>
    <cellStyle name="60 % – Poudarek4 2 2" xfId="112" xr:uid="{00000000-0005-0000-0000-00003D000000}"/>
    <cellStyle name="60 % – Poudarek4 2 3" xfId="159" xr:uid="{00000000-0005-0000-0000-00003E000000}"/>
    <cellStyle name="60 % – Poudarek4 3" xfId="70" xr:uid="{00000000-0005-0000-0000-00003F000000}"/>
    <cellStyle name="60 % – Poudarek5 2" xfId="23" xr:uid="{00000000-0005-0000-0000-000040000000}"/>
    <cellStyle name="60 % – Poudarek5 2 2" xfId="113" xr:uid="{00000000-0005-0000-0000-000041000000}"/>
    <cellStyle name="60 % – Poudarek5 2 3" xfId="160" xr:uid="{00000000-0005-0000-0000-000042000000}"/>
    <cellStyle name="60 % – Poudarek5 3" xfId="71" xr:uid="{00000000-0005-0000-0000-000043000000}"/>
    <cellStyle name="60 % – Poudarek6 2" xfId="24" xr:uid="{00000000-0005-0000-0000-000044000000}"/>
    <cellStyle name="60 % – Poudarek6 2 2" xfId="114" xr:uid="{00000000-0005-0000-0000-000045000000}"/>
    <cellStyle name="60 % – Poudarek6 2 3" xfId="161" xr:uid="{00000000-0005-0000-0000-000046000000}"/>
    <cellStyle name="60 % – Poudarek6 3" xfId="72" xr:uid="{00000000-0005-0000-0000-000047000000}"/>
    <cellStyle name="cf1" xfId="315" xr:uid="{00000000-0005-0000-0000-000048000000}"/>
    <cellStyle name="cf2" xfId="316" xr:uid="{00000000-0005-0000-0000-000049000000}"/>
    <cellStyle name="cf3" xfId="317" xr:uid="{00000000-0005-0000-0000-00004A000000}"/>
    <cellStyle name="cf4" xfId="318" xr:uid="{00000000-0005-0000-0000-00004B000000}"/>
    <cellStyle name="cf5" xfId="319" xr:uid="{00000000-0005-0000-0000-00004C000000}"/>
    <cellStyle name="Dobro 2" xfId="25" xr:uid="{00000000-0005-0000-0000-00004D000000}"/>
    <cellStyle name="Dobro 2 2" xfId="115" xr:uid="{00000000-0005-0000-0000-00004E000000}"/>
    <cellStyle name="Dobro 2 3" xfId="162" xr:uid="{00000000-0005-0000-0000-00004F000000}"/>
    <cellStyle name="Dobro 3" xfId="73" xr:uid="{00000000-0005-0000-0000-000050000000}"/>
    <cellStyle name="Euro" xfId="139" xr:uid="{00000000-0005-0000-0000-000051000000}"/>
    <cellStyle name="Euro 2" xfId="327" xr:uid="{00000000-0005-0000-0000-000052000000}"/>
    <cellStyle name="Hiperpovezava" xfId="320" xr:uid="{00000000-0005-0000-0000-000053000000}"/>
    <cellStyle name="Hiperpovezava 2" xfId="26" xr:uid="{00000000-0005-0000-0000-000054000000}"/>
    <cellStyle name="Izhod 2" xfId="27" xr:uid="{00000000-0005-0000-0000-000055000000}"/>
    <cellStyle name="Izhod 2 2" xfId="116" xr:uid="{00000000-0005-0000-0000-000056000000}"/>
    <cellStyle name="Izhod 2 2 2" xfId="213" xr:uid="{00000000-0005-0000-0000-000057000000}"/>
    <cellStyle name="Izhod 2 2 2 2" xfId="293" xr:uid="{00000000-0005-0000-0000-000058000000}"/>
    <cellStyle name="Izhod 2 2 2 2 2" xfId="312" xr:uid="{00000000-0005-0000-0000-000059000000}"/>
    <cellStyle name="Izhod 2 2 2 3" xfId="244" xr:uid="{00000000-0005-0000-0000-00005A000000}"/>
    <cellStyle name="Izhod 2 2 2 3 2" xfId="348" xr:uid="{00000000-0005-0000-0000-00005B000000}"/>
    <cellStyle name="Izhod 2 2 3" xfId="270" xr:uid="{00000000-0005-0000-0000-00005C000000}"/>
    <cellStyle name="Izhod 2 2 3 2" xfId="305" xr:uid="{00000000-0005-0000-0000-00005D000000}"/>
    <cellStyle name="Izhod 2 2 4" xfId="233" xr:uid="{00000000-0005-0000-0000-00005E000000}"/>
    <cellStyle name="Izhod 2 2 4 2" xfId="337" xr:uid="{00000000-0005-0000-0000-00005F000000}"/>
    <cellStyle name="Izhod 2 3" xfId="163" xr:uid="{00000000-0005-0000-0000-000060000000}"/>
    <cellStyle name="Izhod 2 3 2" xfId="250" xr:uid="{00000000-0005-0000-0000-000061000000}"/>
    <cellStyle name="Izhod 2 3 2 2" xfId="303" xr:uid="{00000000-0005-0000-0000-000062000000}"/>
    <cellStyle name="Izhod 2 3 3" xfId="235" xr:uid="{00000000-0005-0000-0000-000063000000}"/>
    <cellStyle name="Izhod 2 3 3 2" xfId="339" xr:uid="{00000000-0005-0000-0000-000064000000}"/>
    <cellStyle name="Izhod 2 4" xfId="192" xr:uid="{00000000-0005-0000-0000-000065000000}"/>
    <cellStyle name="Izhod 2 4 2" xfId="286" xr:uid="{00000000-0005-0000-0000-000066000000}"/>
    <cellStyle name="Izhod 2 4 2 2" xfId="310" xr:uid="{00000000-0005-0000-0000-000067000000}"/>
    <cellStyle name="Izhod 2 4 3" xfId="238" xr:uid="{00000000-0005-0000-0000-000068000000}"/>
    <cellStyle name="Izhod 2 4 3 2" xfId="342" xr:uid="{00000000-0005-0000-0000-000069000000}"/>
    <cellStyle name="Izhod 2 5" xfId="199" xr:uid="{00000000-0005-0000-0000-00006A000000}"/>
    <cellStyle name="Izhod 2 5 2" xfId="291" xr:uid="{00000000-0005-0000-0000-00006B000000}"/>
    <cellStyle name="Izhod 2 5 2 2" xfId="311" xr:uid="{00000000-0005-0000-0000-00006C000000}"/>
    <cellStyle name="Izhod 2 5 3" xfId="240" xr:uid="{00000000-0005-0000-0000-00006D000000}"/>
    <cellStyle name="Izhod 2 5 3 2" xfId="344" xr:uid="{00000000-0005-0000-0000-00006E000000}"/>
    <cellStyle name="Izhod 2 6" xfId="203" xr:uid="{00000000-0005-0000-0000-00006F000000}"/>
    <cellStyle name="Izhod 2 6 2" xfId="242" xr:uid="{00000000-0005-0000-0000-000070000000}"/>
    <cellStyle name="Izhod 2 6 2 2" xfId="346" xr:uid="{00000000-0005-0000-0000-000071000000}"/>
    <cellStyle name="Izhod 2 6 3" xfId="300" xr:uid="{00000000-0005-0000-0000-000072000000}"/>
    <cellStyle name="Izhod 2 6 3 2" xfId="369" xr:uid="{00000000-0005-0000-0000-000073000000}"/>
    <cellStyle name="Izhod 2 6 4" xfId="331" xr:uid="{00000000-0005-0000-0000-000074000000}"/>
    <cellStyle name="Izhod 2 7" xfId="225" xr:uid="{00000000-0005-0000-0000-000075000000}"/>
    <cellStyle name="Izhod 2 7 2" xfId="248" xr:uid="{00000000-0005-0000-0000-000076000000}"/>
    <cellStyle name="Izhod 2 7 2 2" xfId="352" xr:uid="{00000000-0005-0000-0000-000077000000}"/>
    <cellStyle name="Izhod 2 7 3" xfId="302" xr:uid="{00000000-0005-0000-0000-000078000000}"/>
    <cellStyle name="Izhod 3" xfId="185" xr:uid="{00000000-0005-0000-0000-000079000000}"/>
    <cellStyle name="Izhod 3 2" xfId="280" xr:uid="{00000000-0005-0000-0000-00007A000000}"/>
    <cellStyle name="Izhod 3 2 2" xfId="308" xr:uid="{00000000-0005-0000-0000-00007B000000}"/>
    <cellStyle name="Izhod 3 3" xfId="236" xr:uid="{00000000-0005-0000-0000-00007C000000}"/>
    <cellStyle name="Izhod 3 3 2" xfId="340" xr:uid="{00000000-0005-0000-0000-00007D000000}"/>
    <cellStyle name="Izhod 4" xfId="187" xr:uid="{00000000-0005-0000-0000-00007E000000}"/>
    <cellStyle name="Izhod 4 2" xfId="282" xr:uid="{00000000-0005-0000-0000-00007F000000}"/>
    <cellStyle name="Izhod 4 2 2" xfId="309" xr:uid="{00000000-0005-0000-0000-000080000000}"/>
    <cellStyle name="Izhod 4 3" xfId="237" xr:uid="{00000000-0005-0000-0000-000081000000}"/>
    <cellStyle name="Izhod 4 3 2" xfId="341" xr:uid="{00000000-0005-0000-0000-000082000000}"/>
    <cellStyle name="Izhod 5" xfId="204" xr:uid="{00000000-0005-0000-0000-000083000000}"/>
    <cellStyle name="Izhod 5 2" xfId="243" xr:uid="{00000000-0005-0000-0000-000084000000}"/>
    <cellStyle name="Izhod 5 2 2" xfId="347" xr:uid="{00000000-0005-0000-0000-000085000000}"/>
    <cellStyle name="Izhod 5 3" xfId="301" xr:uid="{00000000-0005-0000-0000-000086000000}"/>
    <cellStyle name="Izhod 5 3 2" xfId="370" xr:uid="{00000000-0005-0000-0000-000087000000}"/>
    <cellStyle name="Izhod 5 4" xfId="332" xr:uid="{00000000-0005-0000-0000-000088000000}"/>
    <cellStyle name="Izhod 6" xfId="74" xr:uid="{00000000-0005-0000-0000-000089000000}"/>
    <cellStyle name="Izhod 6 2" xfId="268" xr:uid="{00000000-0005-0000-0000-00008A000000}"/>
    <cellStyle name="Izhod 6 2 2" xfId="362" xr:uid="{00000000-0005-0000-0000-00008B000000}"/>
    <cellStyle name="Izhod 6 3" xfId="304" xr:uid="{00000000-0005-0000-0000-00008C000000}"/>
    <cellStyle name="Izhod 7" xfId="232" xr:uid="{00000000-0005-0000-0000-00008D000000}"/>
    <cellStyle name="Izhod 7 2" xfId="336" xr:uid="{00000000-0005-0000-0000-00008E000000}"/>
    <cellStyle name="Naslov 1 2" xfId="29" xr:uid="{00000000-0005-0000-0000-00008F000000}"/>
    <cellStyle name="Naslov 1 2 2" xfId="118" xr:uid="{00000000-0005-0000-0000-000090000000}"/>
    <cellStyle name="Naslov 1 2 3" xfId="164" xr:uid="{00000000-0005-0000-0000-000091000000}"/>
    <cellStyle name="Naslov 1 3" xfId="76" xr:uid="{00000000-0005-0000-0000-000092000000}"/>
    <cellStyle name="Naslov 2 2" xfId="30" xr:uid="{00000000-0005-0000-0000-000093000000}"/>
    <cellStyle name="Naslov 2 2 2" xfId="119" xr:uid="{00000000-0005-0000-0000-000094000000}"/>
    <cellStyle name="Naslov 2 2 3" xfId="165" xr:uid="{00000000-0005-0000-0000-000095000000}"/>
    <cellStyle name="Naslov 2 3" xfId="77" xr:uid="{00000000-0005-0000-0000-000096000000}"/>
    <cellStyle name="Naslov 3 2" xfId="31" xr:uid="{00000000-0005-0000-0000-000097000000}"/>
    <cellStyle name="Naslov 3 2 2" xfId="120" xr:uid="{00000000-0005-0000-0000-000098000000}"/>
    <cellStyle name="Naslov 3 2 2 2" xfId="271" xr:uid="{00000000-0005-0000-0000-000099000000}"/>
    <cellStyle name="Naslov 3 2 2 2 2" xfId="306" xr:uid="{00000000-0005-0000-0000-00009A000000}"/>
    <cellStyle name="Naslov 3 2 2 2 2 2" xfId="371" xr:uid="{00000000-0005-0000-0000-00009B000000}"/>
    <cellStyle name="Naslov 3 2 3" xfId="166" xr:uid="{00000000-0005-0000-0000-00009C000000}"/>
    <cellStyle name="Naslov 3 2 3 2" xfId="279" xr:uid="{00000000-0005-0000-0000-00009D000000}"/>
    <cellStyle name="Naslov 3 2 3 2 2" xfId="307" xr:uid="{00000000-0005-0000-0000-00009E000000}"/>
    <cellStyle name="Naslov 3 2 3 2 2 2" xfId="372" xr:uid="{00000000-0005-0000-0000-00009F000000}"/>
    <cellStyle name="Naslov 3 2 4" xfId="226" xr:uid="{00000000-0005-0000-0000-0000A0000000}"/>
    <cellStyle name="Naslov 3 2 4 2" xfId="249" xr:uid="{00000000-0005-0000-0000-0000A1000000}"/>
    <cellStyle name="Naslov 3 3" xfId="78" xr:uid="{00000000-0005-0000-0000-0000A2000000}"/>
    <cellStyle name="Naslov 3 3 2" xfId="269" xr:uid="{00000000-0005-0000-0000-0000A3000000}"/>
    <cellStyle name="Naslov 4 2" xfId="32" xr:uid="{00000000-0005-0000-0000-0000A4000000}"/>
    <cellStyle name="Naslov 4 2 2" xfId="121" xr:uid="{00000000-0005-0000-0000-0000A5000000}"/>
    <cellStyle name="Naslov 4 2 3" xfId="167" xr:uid="{00000000-0005-0000-0000-0000A6000000}"/>
    <cellStyle name="Naslov 4 3" xfId="79" xr:uid="{00000000-0005-0000-0000-0000A7000000}"/>
    <cellStyle name="Naslov 5" xfId="28" xr:uid="{00000000-0005-0000-0000-0000A8000000}"/>
    <cellStyle name="Naslov 5 2" xfId="117" xr:uid="{00000000-0005-0000-0000-0000A9000000}"/>
    <cellStyle name="Naslov 6" xfId="75" xr:uid="{00000000-0005-0000-0000-0000AA000000}"/>
    <cellStyle name="Navadno 10" xfId="219" xr:uid="{00000000-0005-0000-0000-0000AC000000}"/>
    <cellStyle name="Navadno 11" xfId="220" xr:uid="{00000000-0005-0000-0000-0000AD000000}"/>
    <cellStyle name="Navadno 11 2" xfId="260" xr:uid="{00000000-0005-0000-0000-0000AE000000}"/>
    <cellStyle name="Navadno 12" xfId="54" xr:uid="{00000000-0005-0000-0000-0000AF000000}"/>
    <cellStyle name="Navadno 13" xfId="313" xr:uid="{00000000-0005-0000-0000-0000B0000000}"/>
    <cellStyle name="Navadno 14" xfId="323" xr:uid="{00000000-0005-0000-0000-0000B1000000}"/>
    <cellStyle name="Navadno 2" xfId="2" xr:uid="{00000000-0005-0000-0000-0000B2000000}"/>
    <cellStyle name="Navadno 2 2" xfId="33" xr:uid="{00000000-0005-0000-0000-0000B3000000}"/>
    <cellStyle name="Navadno 2 3" xfId="202" xr:uid="{00000000-0005-0000-0000-0000B4000000}"/>
    <cellStyle name="Navadno 2 4" xfId="321" xr:uid="{00000000-0005-0000-0000-0000B5000000}"/>
    <cellStyle name="Navadno 2_breskve" xfId="34" xr:uid="{00000000-0005-0000-0000-0000B6000000}"/>
    <cellStyle name="Navadno 3" xfId="1" xr:uid="{00000000-0005-0000-0000-0000B7000000}"/>
    <cellStyle name="Navadno 3 2" xfId="35" xr:uid="{00000000-0005-0000-0000-0000B8000000}"/>
    <cellStyle name="Navadno 3 3" xfId="221" xr:uid="{00000000-0005-0000-0000-0000B9000000}"/>
    <cellStyle name="Navadno 3 4" xfId="322" xr:uid="{00000000-0005-0000-0000-0000BA000000}"/>
    <cellStyle name="Navadno 4" xfId="4" xr:uid="{00000000-0005-0000-0000-0000BB000000}"/>
    <cellStyle name="Navadno 4 2" xfId="5" xr:uid="{00000000-0005-0000-0000-0000BC000000}"/>
    <cellStyle name="Navadno 4 2 2" xfId="223" xr:uid="{00000000-0005-0000-0000-0000BD000000}"/>
    <cellStyle name="Navadno 4 2 2 2" xfId="334" xr:uid="{00000000-0005-0000-0000-0000BE000000}"/>
    <cellStyle name="Navadno 4 2 3" xfId="246" xr:uid="{00000000-0005-0000-0000-0000BF000000}"/>
    <cellStyle name="Navadno 4 2 3 2" xfId="350" xr:uid="{00000000-0005-0000-0000-0000C0000000}"/>
    <cellStyle name="Navadno 4 2 4" xfId="325" xr:uid="{00000000-0005-0000-0000-0000C1000000}"/>
    <cellStyle name="Navadno 4 3" xfId="36" xr:uid="{00000000-0005-0000-0000-0000C2000000}"/>
    <cellStyle name="Navadno 4 4" xfId="222" xr:uid="{00000000-0005-0000-0000-0000C3000000}"/>
    <cellStyle name="Navadno 4 4 2" xfId="245" xr:uid="{00000000-0005-0000-0000-0000C4000000}"/>
    <cellStyle name="Navadno 4 4 2 2" xfId="349" xr:uid="{00000000-0005-0000-0000-0000C5000000}"/>
    <cellStyle name="Navadno 4 4 3" xfId="333" xr:uid="{00000000-0005-0000-0000-0000C6000000}"/>
    <cellStyle name="Navadno 4 5" xfId="324" xr:uid="{00000000-0005-0000-0000-0000C7000000}"/>
    <cellStyle name="Navadno 5" xfId="6" xr:uid="{00000000-0005-0000-0000-0000C8000000}"/>
    <cellStyle name="Navadno 5 2" xfId="53" xr:uid="{00000000-0005-0000-0000-0000C9000000}"/>
    <cellStyle name="Navadno 5 2 2" xfId="214" xr:uid="{00000000-0005-0000-0000-0000CA000000}"/>
    <cellStyle name="Navadno 5 2 3" xfId="231" xr:uid="{00000000-0005-0000-0000-0000CB000000}"/>
    <cellStyle name="Navadno 5 2 4" xfId="142" xr:uid="{00000000-0005-0000-0000-0000CC000000}"/>
    <cellStyle name="Navadno 5 3" xfId="197" xr:uid="{00000000-0005-0000-0000-0000CD000000}"/>
    <cellStyle name="Navadno 5 4" xfId="224" xr:uid="{00000000-0005-0000-0000-0000CE000000}"/>
    <cellStyle name="Navadno 5 4 2" xfId="247" xr:uid="{00000000-0005-0000-0000-0000CF000000}"/>
    <cellStyle name="Navadno 5 4 2 2" xfId="351" xr:uid="{00000000-0005-0000-0000-0000D0000000}"/>
    <cellStyle name="Navadno 5 4 3" xfId="335" xr:uid="{00000000-0005-0000-0000-0000D1000000}"/>
    <cellStyle name="Navadno 5 5" xfId="96" xr:uid="{00000000-0005-0000-0000-0000D2000000}"/>
    <cellStyle name="Navadno 5 6" xfId="326" xr:uid="{00000000-0005-0000-0000-0000D3000000}"/>
    <cellStyle name="Navadno 6" xfId="141" xr:uid="{00000000-0005-0000-0000-0000D4000000}"/>
    <cellStyle name="Navadno 6 2" xfId="200" xr:uid="{00000000-0005-0000-0000-0000D5000000}"/>
    <cellStyle name="Navadno 6 2 2" xfId="251" xr:uid="{00000000-0005-0000-0000-0000D6000000}"/>
    <cellStyle name="Navadno 6 2 2 2" xfId="299" xr:uid="{00000000-0005-0000-0000-0000D7000000}"/>
    <cellStyle name="Navadno 6 2 2 2 2" xfId="368" xr:uid="{00000000-0005-0000-0000-0000D8000000}"/>
    <cellStyle name="Navadno 6 2 2 3" xfId="353" xr:uid="{00000000-0005-0000-0000-0000D9000000}"/>
    <cellStyle name="Navadno 6 2 3" xfId="261" xr:uid="{00000000-0005-0000-0000-0000DA000000}"/>
    <cellStyle name="Navadno 6 2 3 2" xfId="356" xr:uid="{00000000-0005-0000-0000-0000DB000000}"/>
    <cellStyle name="Navadno 6 2 4" xfId="265" xr:uid="{00000000-0005-0000-0000-0000DC000000}"/>
    <cellStyle name="Navadno 6 2 4 2" xfId="359" xr:uid="{00000000-0005-0000-0000-0000DD000000}"/>
    <cellStyle name="Navadno 6 2 5" xfId="292" xr:uid="{00000000-0005-0000-0000-0000DE000000}"/>
    <cellStyle name="Navadno 6 2 5 2" xfId="365" xr:uid="{00000000-0005-0000-0000-0000DF000000}"/>
    <cellStyle name="Navadno 6 2 6" xfId="241" xr:uid="{00000000-0005-0000-0000-0000E0000000}"/>
    <cellStyle name="Navadno 6 2 6 2" xfId="345" xr:uid="{00000000-0005-0000-0000-0000E1000000}"/>
    <cellStyle name="Navadno 6 2 7" xfId="330" xr:uid="{00000000-0005-0000-0000-0000E2000000}"/>
    <cellStyle name="Navadno 6 3" xfId="252" xr:uid="{00000000-0005-0000-0000-0000E3000000}"/>
    <cellStyle name="Navadno 6 3 2" xfId="297" xr:uid="{00000000-0005-0000-0000-0000E4000000}"/>
    <cellStyle name="Navadno 6 3 2 2" xfId="366" xr:uid="{00000000-0005-0000-0000-0000E5000000}"/>
    <cellStyle name="Navadno 6 3 3" xfId="354" xr:uid="{00000000-0005-0000-0000-0000E6000000}"/>
    <cellStyle name="Navadno 6 4" xfId="262" xr:uid="{00000000-0005-0000-0000-0000E7000000}"/>
    <cellStyle name="Navadno 6 4 2" xfId="357" xr:uid="{00000000-0005-0000-0000-0000E8000000}"/>
    <cellStyle name="Navadno 6 5" xfId="266" xr:uid="{00000000-0005-0000-0000-0000E9000000}"/>
    <cellStyle name="Navadno 6 5 2" xfId="360" xr:uid="{00000000-0005-0000-0000-0000EA000000}"/>
    <cellStyle name="Navadno 6 6" xfId="278" xr:uid="{00000000-0005-0000-0000-0000EB000000}"/>
    <cellStyle name="Navadno 6 6 2" xfId="363" xr:uid="{00000000-0005-0000-0000-0000EC000000}"/>
    <cellStyle name="Navadno 6 7" xfId="234" xr:uid="{00000000-0005-0000-0000-0000ED000000}"/>
    <cellStyle name="Navadno 6 7 2" xfId="338" xr:uid="{00000000-0005-0000-0000-0000EE000000}"/>
    <cellStyle name="Navadno 6 8" xfId="328" xr:uid="{00000000-0005-0000-0000-0000EF000000}"/>
    <cellStyle name="Navadno 7" xfId="143" xr:uid="{00000000-0005-0000-0000-0000F0000000}"/>
    <cellStyle name="Navadno 8" xfId="201" xr:uid="{00000000-0005-0000-0000-0000F1000000}"/>
    <cellStyle name="Navadno 9" xfId="198" xr:uid="{00000000-0005-0000-0000-0000F2000000}"/>
    <cellStyle name="Navadno 9 2" xfId="253" xr:uid="{00000000-0005-0000-0000-0000F3000000}"/>
    <cellStyle name="Navadno 9 2 2" xfId="298" xr:uid="{00000000-0005-0000-0000-0000F4000000}"/>
    <cellStyle name="Navadno 9 2 2 2" xfId="367" xr:uid="{00000000-0005-0000-0000-0000F5000000}"/>
    <cellStyle name="Navadno 9 2 3" xfId="355" xr:uid="{00000000-0005-0000-0000-0000F6000000}"/>
    <cellStyle name="Navadno 9 3" xfId="263" xr:uid="{00000000-0005-0000-0000-0000F7000000}"/>
    <cellStyle name="Navadno 9 3 2" xfId="358" xr:uid="{00000000-0005-0000-0000-0000F8000000}"/>
    <cellStyle name="Navadno 9 4" xfId="267" xr:uid="{00000000-0005-0000-0000-0000F9000000}"/>
    <cellStyle name="Navadno 9 4 2" xfId="361" xr:uid="{00000000-0005-0000-0000-0000FA000000}"/>
    <cellStyle name="Navadno 9 5" xfId="290" xr:uid="{00000000-0005-0000-0000-0000FB000000}"/>
    <cellStyle name="Navadno 9 5 2" xfId="364" xr:uid="{00000000-0005-0000-0000-0000FC000000}"/>
    <cellStyle name="Navadno 9 6" xfId="239" xr:uid="{00000000-0005-0000-0000-0000FD000000}"/>
    <cellStyle name="Navadno 9 6 2" xfId="343" xr:uid="{00000000-0005-0000-0000-0000FE000000}"/>
    <cellStyle name="Navadno 9 7" xfId="329" xr:uid="{00000000-0005-0000-0000-0000FF000000}"/>
    <cellStyle name="Navadno_ZBPOLVALUEleto" xfId="3" xr:uid="{00000000-0005-0000-0000-000000010000}"/>
    <cellStyle name="Nevtralno 2" xfId="37" xr:uid="{00000000-0005-0000-0000-000001010000}"/>
    <cellStyle name="Nevtralno 2 2" xfId="122" xr:uid="{00000000-0005-0000-0000-000002010000}"/>
    <cellStyle name="Nevtralno 2 3" xfId="168" xr:uid="{00000000-0005-0000-0000-000003010000}"/>
    <cellStyle name="Nevtralno 3" xfId="80" xr:uid="{00000000-0005-0000-0000-000004010000}"/>
    <cellStyle name="Normal" xfId="0" builtinId="0"/>
    <cellStyle name="Odstotek 2" xfId="314" xr:uid="{00000000-0005-0000-0000-000005010000}"/>
    <cellStyle name="Opomba 2" xfId="38" xr:uid="{00000000-0005-0000-0000-000006010000}"/>
    <cellStyle name="Opomba 2 2" xfId="123" xr:uid="{00000000-0005-0000-0000-000007010000}"/>
    <cellStyle name="Opomba 2 2 2" xfId="215" xr:uid="{00000000-0005-0000-0000-000008010000}"/>
    <cellStyle name="Opomba 2 2 3" xfId="272" xr:uid="{00000000-0005-0000-0000-000009010000}"/>
    <cellStyle name="Opomba 2 3" xfId="169" xr:uid="{00000000-0005-0000-0000-00000A010000}"/>
    <cellStyle name="Opomba 2 3 2" xfId="264" xr:uid="{00000000-0005-0000-0000-00000B010000}"/>
    <cellStyle name="Opomba 2 4" xfId="193" xr:uid="{00000000-0005-0000-0000-00000C010000}"/>
    <cellStyle name="Opomba 2 4 2" xfId="254" xr:uid="{00000000-0005-0000-0000-00000D010000}"/>
    <cellStyle name="Opomba 2 5" xfId="205" xr:uid="{00000000-0005-0000-0000-00000E010000}"/>
    <cellStyle name="Opomba 2 6" xfId="227" xr:uid="{00000000-0005-0000-0000-00000F010000}"/>
    <cellStyle name="Opomba 3" xfId="184" xr:uid="{00000000-0005-0000-0000-000010010000}"/>
    <cellStyle name="Opomba 3 2" xfId="255" xr:uid="{00000000-0005-0000-0000-000011010000}"/>
    <cellStyle name="Opomba 4" xfId="188" xr:uid="{00000000-0005-0000-0000-000012010000}"/>
    <cellStyle name="Opomba 4 2" xfId="256" xr:uid="{00000000-0005-0000-0000-000013010000}"/>
    <cellStyle name="Opomba 5" xfId="206" xr:uid="{00000000-0005-0000-0000-000014010000}"/>
    <cellStyle name="Opomba 6" xfId="81" xr:uid="{00000000-0005-0000-0000-000015010000}"/>
    <cellStyle name="Opozorilo 2" xfId="39" xr:uid="{00000000-0005-0000-0000-000016010000}"/>
    <cellStyle name="Opozorilo 2 2" xfId="124" xr:uid="{00000000-0005-0000-0000-000017010000}"/>
    <cellStyle name="Opozorilo 2 3" xfId="170" xr:uid="{00000000-0005-0000-0000-000018010000}"/>
    <cellStyle name="Opozorilo 3" xfId="82" xr:uid="{00000000-0005-0000-0000-000019010000}"/>
    <cellStyle name="Pojasnjevalno besedilo 2" xfId="40" xr:uid="{00000000-0005-0000-0000-00001A010000}"/>
    <cellStyle name="Pojasnjevalno besedilo 2 2" xfId="125" xr:uid="{00000000-0005-0000-0000-00001B010000}"/>
    <cellStyle name="Pojasnjevalno besedilo 2 3" xfId="171" xr:uid="{00000000-0005-0000-0000-00001C010000}"/>
    <cellStyle name="Pojasnjevalno besedilo 3" xfId="83" xr:uid="{00000000-0005-0000-0000-00001D010000}"/>
    <cellStyle name="Poudarek1 2" xfId="41" xr:uid="{00000000-0005-0000-0000-00001E010000}"/>
    <cellStyle name="Poudarek1 2 2" xfId="126" xr:uid="{00000000-0005-0000-0000-00001F010000}"/>
    <cellStyle name="Poudarek1 2 3" xfId="172" xr:uid="{00000000-0005-0000-0000-000020010000}"/>
    <cellStyle name="Poudarek1 3" xfId="84" xr:uid="{00000000-0005-0000-0000-000021010000}"/>
    <cellStyle name="Poudarek2 2" xfId="42" xr:uid="{00000000-0005-0000-0000-000022010000}"/>
    <cellStyle name="Poudarek2 2 2" xfId="127" xr:uid="{00000000-0005-0000-0000-000023010000}"/>
    <cellStyle name="Poudarek2 2 3" xfId="173" xr:uid="{00000000-0005-0000-0000-000024010000}"/>
    <cellStyle name="Poudarek2 3" xfId="85" xr:uid="{00000000-0005-0000-0000-000025010000}"/>
    <cellStyle name="Poudarek3 2" xfId="43" xr:uid="{00000000-0005-0000-0000-000026010000}"/>
    <cellStyle name="Poudarek3 2 2" xfId="128" xr:uid="{00000000-0005-0000-0000-000027010000}"/>
    <cellStyle name="Poudarek3 2 3" xfId="174" xr:uid="{00000000-0005-0000-0000-000028010000}"/>
    <cellStyle name="Poudarek3 3" xfId="86" xr:uid="{00000000-0005-0000-0000-000029010000}"/>
    <cellStyle name="Poudarek4 2" xfId="44" xr:uid="{00000000-0005-0000-0000-00002A010000}"/>
    <cellStyle name="Poudarek4 2 2" xfId="129" xr:uid="{00000000-0005-0000-0000-00002B010000}"/>
    <cellStyle name="Poudarek4 2 3" xfId="175" xr:uid="{00000000-0005-0000-0000-00002C010000}"/>
    <cellStyle name="Poudarek4 3" xfId="87" xr:uid="{00000000-0005-0000-0000-00002D010000}"/>
    <cellStyle name="Poudarek5 2" xfId="45" xr:uid="{00000000-0005-0000-0000-00002E010000}"/>
    <cellStyle name="Poudarek5 2 2" xfId="130" xr:uid="{00000000-0005-0000-0000-00002F010000}"/>
    <cellStyle name="Poudarek5 2 3" xfId="176" xr:uid="{00000000-0005-0000-0000-000030010000}"/>
    <cellStyle name="Poudarek5 3" xfId="88" xr:uid="{00000000-0005-0000-0000-000031010000}"/>
    <cellStyle name="Poudarek6 2" xfId="46" xr:uid="{00000000-0005-0000-0000-000032010000}"/>
    <cellStyle name="Poudarek6 2 2" xfId="131" xr:uid="{00000000-0005-0000-0000-000033010000}"/>
    <cellStyle name="Poudarek6 2 3" xfId="177" xr:uid="{00000000-0005-0000-0000-000034010000}"/>
    <cellStyle name="Poudarek6 3" xfId="89" xr:uid="{00000000-0005-0000-0000-000035010000}"/>
    <cellStyle name="Povezana celica 2" xfId="47" xr:uid="{00000000-0005-0000-0000-000036010000}"/>
    <cellStyle name="Povezana celica 2 2" xfId="132" xr:uid="{00000000-0005-0000-0000-000037010000}"/>
    <cellStyle name="Povezana celica 2 3" xfId="178" xr:uid="{00000000-0005-0000-0000-000038010000}"/>
    <cellStyle name="Povezana celica 3" xfId="90" xr:uid="{00000000-0005-0000-0000-000039010000}"/>
    <cellStyle name="Preveri celico 2" xfId="48" xr:uid="{00000000-0005-0000-0000-00003A010000}"/>
    <cellStyle name="Preveri celico 2 2" xfId="133" xr:uid="{00000000-0005-0000-0000-00003B010000}"/>
    <cellStyle name="Preveri celico 2 3" xfId="179" xr:uid="{00000000-0005-0000-0000-00003C010000}"/>
    <cellStyle name="Preveri celico 3" xfId="91" xr:uid="{00000000-0005-0000-0000-00003D010000}"/>
    <cellStyle name="Računanje 2" xfId="49" xr:uid="{00000000-0005-0000-0000-00003E010000}"/>
    <cellStyle name="Računanje 2 2" xfId="134" xr:uid="{00000000-0005-0000-0000-00003F010000}"/>
    <cellStyle name="Računanje 2 2 2" xfId="216" xr:uid="{00000000-0005-0000-0000-000040010000}"/>
    <cellStyle name="Računanje 2 2 2 2" xfId="294" xr:uid="{00000000-0005-0000-0000-000041010000}"/>
    <cellStyle name="Računanje 2 2 3" xfId="273" xr:uid="{00000000-0005-0000-0000-000042010000}"/>
    <cellStyle name="Računanje 2 3" xfId="180" xr:uid="{00000000-0005-0000-0000-000043010000}"/>
    <cellStyle name="Računanje 2 3 2" xfId="257" xr:uid="{00000000-0005-0000-0000-000044010000}"/>
    <cellStyle name="Računanje 2 4" xfId="194" xr:uid="{00000000-0005-0000-0000-000045010000}"/>
    <cellStyle name="Računanje 2 4 2" xfId="287" xr:uid="{00000000-0005-0000-0000-000046010000}"/>
    <cellStyle name="Računanje 2 5" xfId="207" xr:uid="{00000000-0005-0000-0000-000047010000}"/>
    <cellStyle name="Računanje 2 6" xfId="228" xr:uid="{00000000-0005-0000-0000-000048010000}"/>
    <cellStyle name="Računanje 3" xfId="138" xr:uid="{00000000-0005-0000-0000-000049010000}"/>
    <cellStyle name="Računanje 3 2" xfId="276" xr:uid="{00000000-0005-0000-0000-00004A010000}"/>
    <cellStyle name="Računanje 4" xfId="189" xr:uid="{00000000-0005-0000-0000-00004B010000}"/>
    <cellStyle name="Računanje 4 2" xfId="283" xr:uid="{00000000-0005-0000-0000-00004C010000}"/>
    <cellStyle name="Računanje 5" xfId="208" xr:uid="{00000000-0005-0000-0000-00004D010000}"/>
    <cellStyle name="Računanje 6" xfId="92" xr:uid="{00000000-0005-0000-0000-00004E010000}"/>
    <cellStyle name="Slabo 2" xfId="50" xr:uid="{00000000-0005-0000-0000-00004F010000}"/>
    <cellStyle name="Slabo 2 2" xfId="135" xr:uid="{00000000-0005-0000-0000-000050010000}"/>
    <cellStyle name="Slabo 2 3" xfId="181" xr:uid="{00000000-0005-0000-0000-000051010000}"/>
    <cellStyle name="Slabo 3" xfId="93" xr:uid="{00000000-0005-0000-0000-000052010000}"/>
    <cellStyle name="Vnos 2" xfId="51" xr:uid="{00000000-0005-0000-0000-000053010000}"/>
    <cellStyle name="Vnos 2 2" xfId="136" xr:uid="{00000000-0005-0000-0000-000054010000}"/>
    <cellStyle name="Vnos 2 2 2" xfId="217" xr:uid="{00000000-0005-0000-0000-000055010000}"/>
    <cellStyle name="Vnos 2 2 2 2" xfId="295" xr:uid="{00000000-0005-0000-0000-000056010000}"/>
    <cellStyle name="Vnos 2 2 3" xfId="274" xr:uid="{00000000-0005-0000-0000-000057010000}"/>
    <cellStyle name="Vnos 2 3" xfId="182" xr:uid="{00000000-0005-0000-0000-000058010000}"/>
    <cellStyle name="Vnos 2 3 2" xfId="258" xr:uid="{00000000-0005-0000-0000-000059010000}"/>
    <cellStyle name="Vnos 2 4" xfId="195" xr:uid="{00000000-0005-0000-0000-00005A010000}"/>
    <cellStyle name="Vnos 2 4 2" xfId="288" xr:uid="{00000000-0005-0000-0000-00005B010000}"/>
    <cellStyle name="Vnos 2 5" xfId="209" xr:uid="{00000000-0005-0000-0000-00005C010000}"/>
    <cellStyle name="Vnos 2 6" xfId="229" xr:uid="{00000000-0005-0000-0000-00005D010000}"/>
    <cellStyle name="Vnos 3" xfId="140" xr:uid="{00000000-0005-0000-0000-00005E010000}"/>
    <cellStyle name="Vnos 3 2" xfId="277" xr:uid="{00000000-0005-0000-0000-00005F010000}"/>
    <cellStyle name="Vnos 4" xfId="190" xr:uid="{00000000-0005-0000-0000-000060010000}"/>
    <cellStyle name="Vnos 4 2" xfId="284" xr:uid="{00000000-0005-0000-0000-000061010000}"/>
    <cellStyle name="Vnos 5" xfId="210" xr:uid="{00000000-0005-0000-0000-000062010000}"/>
    <cellStyle name="Vnos 6" xfId="94" xr:uid="{00000000-0005-0000-0000-000063010000}"/>
    <cellStyle name="Vsota 2" xfId="52" xr:uid="{00000000-0005-0000-0000-000064010000}"/>
    <cellStyle name="Vsota 2 2" xfId="137" xr:uid="{00000000-0005-0000-0000-000065010000}"/>
    <cellStyle name="Vsota 2 2 2" xfId="218" xr:uid="{00000000-0005-0000-0000-000066010000}"/>
    <cellStyle name="Vsota 2 2 2 2" xfId="296" xr:uid="{00000000-0005-0000-0000-000067010000}"/>
    <cellStyle name="Vsota 2 2 3" xfId="275" xr:uid="{00000000-0005-0000-0000-000068010000}"/>
    <cellStyle name="Vsota 2 3" xfId="183" xr:uid="{00000000-0005-0000-0000-000069010000}"/>
    <cellStyle name="Vsota 2 3 2" xfId="259" xr:uid="{00000000-0005-0000-0000-00006A010000}"/>
    <cellStyle name="Vsota 2 4" xfId="196" xr:uid="{00000000-0005-0000-0000-00006B010000}"/>
    <cellStyle name="Vsota 2 4 2" xfId="289" xr:uid="{00000000-0005-0000-0000-00006C010000}"/>
    <cellStyle name="Vsota 2 5" xfId="211" xr:uid="{00000000-0005-0000-0000-00006D010000}"/>
    <cellStyle name="Vsota 2 6" xfId="230" xr:uid="{00000000-0005-0000-0000-00006E010000}"/>
    <cellStyle name="Vsota 3" xfId="186" xr:uid="{00000000-0005-0000-0000-00006F010000}"/>
    <cellStyle name="Vsota 3 2" xfId="281" xr:uid="{00000000-0005-0000-0000-000070010000}"/>
    <cellStyle name="Vsota 4" xfId="191" xr:uid="{00000000-0005-0000-0000-000071010000}"/>
    <cellStyle name="Vsota 4 2" xfId="285" xr:uid="{00000000-0005-0000-0000-000072010000}"/>
    <cellStyle name="Vsota 5" xfId="212" xr:uid="{00000000-0005-0000-0000-000073010000}"/>
    <cellStyle name="Vsota 6" xfId="95" xr:uid="{00000000-0005-0000-0000-000074010000}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grafi'!$Q$84:$V$84</c:f>
              <c:numCache>
                <c:formatCode>0.00</c:formatCode>
                <c:ptCount val="6"/>
                <c:pt idx="0">
                  <c:v>254.13039369897089</c:v>
                </c:pt>
                <c:pt idx="1">
                  <c:v>262.7232870991981</c:v>
                </c:pt>
                <c:pt idx="2">
                  <c:v>267.04934136164741</c:v>
                </c:pt>
                <c:pt idx="3">
                  <c:v>282.16433450838753</c:v>
                </c:pt>
                <c:pt idx="4">
                  <c:v>296.91904925994032</c:v>
                </c:pt>
                <c:pt idx="5">
                  <c:v>253.7101275424117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39-4219-ACF3-07603C26B918}"/>
            </c:ext>
          </c:extLst>
        </c:ser>
        <c:ser>
          <c:idx val="4"/>
          <c:order val="1"/>
          <c:tx>
            <c:strRef>
              <c:f>'PODATKI grafi'!$P$85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grafi'!$Q$85:$V$85</c:f>
              <c:numCache>
                <c:formatCode>0.00</c:formatCode>
                <c:ptCount val="6"/>
                <c:pt idx="0">
                  <c:v>29.416446502555885</c:v>
                </c:pt>
                <c:pt idx="1">
                  <c:v>30.741138568254314</c:v>
                </c:pt>
                <c:pt idx="2">
                  <c:v>31.079212765469663</c:v>
                </c:pt>
                <c:pt idx="3">
                  <c:v>32.410814443575134</c:v>
                </c:pt>
                <c:pt idx="4">
                  <c:v>33.401376517637175</c:v>
                </c:pt>
                <c:pt idx="5">
                  <c:v>27.602725671691843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39-4219-ACF3-07603C26B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30496"/>
        <c:axId val="477659712"/>
      </c:areaChart>
      <c:lineChart>
        <c:grouping val="standard"/>
        <c:varyColors val="0"/>
        <c:ser>
          <c:idx val="5"/>
          <c:order val="5"/>
          <c:tx>
            <c:strRef>
              <c:f>'PODATKI grafi'!$P$87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grafi'!$Q$87:$V$87</c:f>
              <c:numCache>
                <c:formatCode>0.000</c:formatCode>
                <c:ptCount val="6"/>
                <c:pt idx="0">
                  <c:v>185</c:v>
                </c:pt>
                <c:pt idx="1">
                  <c:v>185</c:v>
                </c:pt>
                <c:pt idx="2">
                  <c:v>185</c:v>
                </c:pt>
                <c:pt idx="3">
                  <c:v>185</c:v>
                </c:pt>
                <c:pt idx="4">
                  <c:v>185</c:v>
                </c:pt>
                <c:pt idx="5">
                  <c:v>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39-4219-ACF3-07603C26B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30496"/>
        <c:axId val="477659712"/>
      </c:lineChart>
      <c:lineChart>
        <c:grouping val="standard"/>
        <c:varyColors val="0"/>
        <c:ser>
          <c:idx val="0"/>
          <c:order val="2"/>
          <c:tx>
            <c:strRef>
              <c:f>'PODATKI grafi'!$P$82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grafi'!$Q$82:$V$82</c:f>
              <c:numCache>
                <c:formatCode>0.00</c:formatCode>
                <c:ptCount val="6"/>
                <c:pt idx="0">
                  <c:v>283.54684020152678</c:v>
                </c:pt>
                <c:pt idx="1">
                  <c:v>293.46442566745242</c:v>
                </c:pt>
                <c:pt idx="2">
                  <c:v>298.12855412711707</c:v>
                </c:pt>
                <c:pt idx="3">
                  <c:v>314.57514895196266</c:v>
                </c:pt>
                <c:pt idx="4">
                  <c:v>330.3204257775775</c:v>
                </c:pt>
                <c:pt idx="5">
                  <c:v>281.31285321410354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39-4219-ACF3-07603C26B918}"/>
            </c:ext>
          </c:extLst>
        </c:ser>
        <c:ser>
          <c:idx val="1"/>
          <c:order val="3"/>
          <c:tx>
            <c:strRef>
              <c:f>'PODATKI grafi'!$P$83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grafi'!$Q$83:$V$83</c:f>
              <c:numCache>
                <c:formatCode>0.00</c:formatCode>
                <c:ptCount val="6"/>
                <c:pt idx="0">
                  <c:v>274.66208550041199</c:v>
                </c:pt>
                <c:pt idx="1">
                  <c:v>284.17956947694728</c:v>
                </c:pt>
                <c:pt idx="2">
                  <c:v>288.74158817591149</c:v>
                </c:pt>
                <c:pt idx="3">
                  <c:v>304.78599457638256</c:v>
                </c:pt>
                <c:pt idx="4">
                  <c:v>320.23208839076915</c:v>
                </c:pt>
                <c:pt idx="5">
                  <c:v>272.97590311192727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39-4219-ACF3-07603C26B918}"/>
            </c:ext>
          </c:extLst>
        </c:ser>
        <c:ser>
          <c:idx val="2"/>
          <c:order val="4"/>
          <c:tx>
            <c:strRef>
              <c:f>'PODATKI grafi'!$P$84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grafi'!$Q$84:$V$84</c:f>
              <c:numCache>
                <c:formatCode>0.00</c:formatCode>
                <c:ptCount val="6"/>
                <c:pt idx="0">
                  <c:v>254.13039369897089</c:v>
                </c:pt>
                <c:pt idx="1">
                  <c:v>262.7232870991981</c:v>
                </c:pt>
                <c:pt idx="2">
                  <c:v>267.04934136164741</c:v>
                </c:pt>
                <c:pt idx="3">
                  <c:v>282.16433450838753</c:v>
                </c:pt>
                <c:pt idx="4">
                  <c:v>296.91904925994032</c:v>
                </c:pt>
                <c:pt idx="5">
                  <c:v>253.7101275424117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39-4219-ACF3-07603C26B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31008"/>
        <c:axId val="477660288"/>
      </c:lineChart>
      <c:catAx>
        <c:axId val="49130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477659712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477659712"/>
        <c:scaling>
          <c:orientation val="minMax"/>
          <c:max val="400"/>
          <c:min val="5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49130496"/>
        <c:crosses val="autoZero"/>
        <c:crossBetween val="midCat"/>
        <c:majorUnit val="50"/>
      </c:valAx>
      <c:catAx>
        <c:axId val="49131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7660288"/>
        <c:crossesAt val="25"/>
        <c:auto val="1"/>
        <c:lblAlgn val="ctr"/>
        <c:lblOffset val="100"/>
        <c:noMultiLvlLbl val="0"/>
      </c:catAx>
      <c:valAx>
        <c:axId val="477660288"/>
        <c:scaling>
          <c:orientation val="minMax"/>
          <c:max val="400"/>
          <c:min val="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49131008"/>
        <c:crosses val="max"/>
        <c:crossBetween val="midCat"/>
        <c:majorUnit val="50"/>
        <c:minorUnit val="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8499188340543993"/>
          <c:y val="0.55790090628292088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5669057625777392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grafi'!$J$75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grafi'!$Q$75:$V$75</c:f>
              <c:numCache>
                <c:formatCode>0.0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D7-49DB-9C21-DC7F9F2D5A62}"/>
            </c:ext>
          </c:extLst>
        </c:ser>
        <c:ser>
          <c:idx val="1"/>
          <c:order val="2"/>
          <c:tx>
            <c:strRef>
              <c:f>'PODATKI grafi'!$J$76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grafi'!$Q$76:$V$76</c:f>
              <c:numCache>
                <c:formatCode>0</c:formatCode>
                <c:ptCount val="6"/>
                <c:pt idx="0">
                  <c:v>1295</c:v>
                </c:pt>
                <c:pt idx="1">
                  <c:v>1202.5</c:v>
                </c:pt>
                <c:pt idx="2">
                  <c:v>1110</c:v>
                </c:pt>
                <c:pt idx="3">
                  <c:v>1017.5</c:v>
                </c:pt>
                <c:pt idx="4">
                  <c:v>925</c:v>
                </c:pt>
                <c:pt idx="5">
                  <c:v>1110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D7-49DB-9C21-DC7F9F2D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5347584"/>
        <c:axId val="477662592"/>
      </c:barChart>
      <c:lineChart>
        <c:grouping val="standard"/>
        <c:varyColors val="0"/>
        <c:ser>
          <c:idx val="2"/>
          <c:order val="1"/>
          <c:tx>
            <c:strRef>
              <c:f>'PODATKI grafi'!$J$88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grafi'!$Q$88:$V$88</c:f>
              <c:numCache>
                <c:formatCode>#,##0.0</c:formatCode>
                <c:ptCount val="6"/>
                <c:pt idx="0">
                  <c:v>-31.359562716571418</c:v>
                </c:pt>
                <c:pt idx="1">
                  <c:v>-61.530023955987417</c:v>
                </c:pt>
                <c:pt idx="2">
                  <c:v>-72.032244048239818</c:v>
                </c:pt>
                <c:pt idx="3">
                  <c:v>-127.42118747845575</c:v>
                </c:pt>
                <c:pt idx="4">
                  <c:v>-170.98854610279614</c:v>
                </c:pt>
                <c:pt idx="5">
                  <c:v>-42.232888457063382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7-49DB-9C21-DC7F9F2D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347584"/>
        <c:axId val="477662592"/>
      </c:lineChart>
      <c:catAx>
        <c:axId val="345347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low"/>
        <c:crossAx val="477662592"/>
        <c:crosses val="autoZero"/>
        <c:auto val="1"/>
        <c:lblAlgn val="ctr"/>
        <c:lblOffset val="100"/>
        <c:noMultiLvlLbl val="0"/>
      </c:catAx>
      <c:valAx>
        <c:axId val="4776625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45347584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282112022832679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grafi'!$Q$121:$V$121</c:f>
              <c:numCache>
                <c:formatCode>0.00</c:formatCode>
                <c:ptCount val="6"/>
                <c:pt idx="0">
                  <c:v>253.30053384807456</c:v>
                </c:pt>
                <c:pt idx="1">
                  <c:v>262.5519596466267</c:v>
                </c:pt>
                <c:pt idx="2">
                  <c:v>274.59379225056728</c:v>
                </c:pt>
                <c:pt idx="3">
                  <c:v>291.72575067693583</c:v>
                </c:pt>
                <c:pt idx="4">
                  <c:v>305.46040234744174</c:v>
                </c:pt>
                <c:pt idx="5">
                  <c:v>244.97233350971885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8-4739-91D0-0855B8C5D8CE}"/>
            </c:ext>
          </c:extLst>
        </c:ser>
        <c:ser>
          <c:idx val="4"/>
          <c:order val="1"/>
          <c:tx>
            <c:strRef>
              <c:f>'PODATKI grafi'!$P$122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grafi'!$Q$122:$V$122</c:f>
              <c:numCache>
                <c:formatCode>0.00</c:formatCode>
                <c:ptCount val="6"/>
                <c:pt idx="0">
                  <c:v>32.899516567372245</c:v>
                </c:pt>
                <c:pt idx="1">
                  <c:v>33.413243432824459</c:v>
                </c:pt>
                <c:pt idx="2">
                  <c:v>34.007063688728863</c:v>
                </c:pt>
                <c:pt idx="3">
                  <c:v>36.174236867045181</c:v>
                </c:pt>
                <c:pt idx="4">
                  <c:v>36.940273125950739</c:v>
                </c:pt>
                <c:pt idx="5">
                  <c:v>21.674673268376239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68-4739-91D0-0855B8C5D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347072"/>
        <c:axId val="477664896"/>
      </c:areaChart>
      <c:lineChart>
        <c:grouping val="standard"/>
        <c:varyColors val="0"/>
        <c:ser>
          <c:idx val="5"/>
          <c:order val="5"/>
          <c:tx>
            <c:strRef>
              <c:f>'PODATKI grafi'!$P$124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grafi'!$Q$124:$V$124</c:f>
              <c:numCache>
                <c:formatCode>0.000</c:formatCode>
                <c:ptCount val="6"/>
                <c:pt idx="0">
                  <c:v>165</c:v>
                </c:pt>
                <c:pt idx="1">
                  <c:v>165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68-4739-91D0-0855B8C5D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347072"/>
        <c:axId val="477664896"/>
      </c:lineChart>
      <c:lineChart>
        <c:grouping val="standard"/>
        <c:varyColors val="0"/>
        <c:ser>
          <c:idx val="0"/>
          <c:order val="2"/>
          <c:tx>
            <c:strRef>
              <c:f>'PODATKI grafi'!$P$119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grafi'!$Q$119:$V$119</c:f>
              <c:numCache>
                <c:formatCode>0.00</c:formatCode>
                <c:ptCount val="6"/>
                <c:pt idx="0">
                  <c:v>286.20005041544681</c:v>
                </c:pt>
                <c:pt idx="1">
                  <c:v>295.96520307945116</c:v>
                </c:pt>
                <c:pt idx="2">
                  <c:v>308.60085593929614</c:v>
                </c:pt>
                <c:pt idx="3">
                  <c:v>327.89998754398101</c:v>
                </c:pt>
                <c:pt idx="4">
                  <c:v>342.40067547339248</c:v>
                </c:pt>
                <c:pt idx="5">
                  <c:v>266.64700677809509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68-4739-91D0-0855B8C5D8CE}"/>
            </c:ext>
          </c:extLst>
        </c:ser>
        <c:ser>
          <c:idx val="1"/>
          <c:order val="3"/>
          <c:tx>
            <c:strRef>
              <c:f>'PODATKI grafi'!$P$120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grafi'!$Q$120:$V$120</c:f>
              <c:numCache>
                <c:formatCode>0.00</c:formatCode>
                <c:ptCount val="6"/>
                <c:pt idx="0">
                  <c:v>276.26329158698104</c:v>
                </c:pt>
                <c:pt idx="1">
                  <c:v>285.87328148574392</c:v>
                </c:pt>
                <c:pt idx="2">
                  <c:v>298.32958068675026</c:v>
                </c:pt>
                <c:pt idx="3">
                  <c:v>316.97415321399853</c:v>
                </c:pt>
                <c:pt idx="4">
                  <c:v>331.24347246834094</c:v>
                </c:pt>
                <c:pt idx="5">
                  <c:v>260.10052757641449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68-4739-91D0-0855B8C5D8CE}"/>
            </c:ext>
          </c:extLst>
        </c:ser>
        <c:ser>
          <c:idx val="2"/>
          <c:order val="4"/>
          <c:tx>
            <c:strRef>
              <c:f>'PODATKI grafi'!$P$121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grafi'!$Q$121:$V$121</c:f>
              <c:numCache>
                <c:formatCode>0.00</c:formatCode>
                <c:ptCount val="6"/>
                <c:pt idx="0">
                  <c:v>253.30053384807456</c:v>
                </c:pt>
                <c:pt idx="1">
                  <c:v>262.5519596466267</c:v>
                </c:pt>
                <c:pt idx="2">
                  <c:v>274.59379225056728</c:v>
                </c:pt>
                <c:pt idx="3">
                  <c:v>291.72575067693583</c:v>
                </c:pt>
                <c:pt idx="4">
                  <c:v>305.46040234744174</c:v>
                </c:pt>
                <c:pt idx="5">
                  <c:v>244.97233350971885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68-4739-91D0-0855B8C5D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349632"/>
        <c:axId val="477665472"/>
      </c:lineChart>
      <c:catAx>
        <c:axId val="345347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477664896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477664896"/>
        <c:scaling>
          <c:orientation val="minMax"/>
          <c:min val="5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45347072"/>
        <c:crosses val="autoZero"/>
        <c:crossBetween val="midCat"/>
        <c:majorUnit val="50"/>
      </c:valAx>
      <c:catAx>
        <c:axId val="345349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7665472"/>
        <c:crossesAt val="25"/>
        <c:auto val="1"/>
        <c:lblAlgn val="ctr"/>
        <c:lblOffset val="100"/>
        <c:noMultiLvlLbl val="0"/>
      </c:catAx>
      <c:valAx>
        <c:axId val="477665472"/>
        <c:scaling>
          <c:orientation val="minMax"/>
          <c:min val="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45349632"/>
        <c:crosses val="max"/>
        <c:crossBetween val="midCat"/>
        <c:majorUnit val="50"/>
        <c:minorUnit val="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9007930819675703"/>
          <c:y val="0.57733135724706486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grafi'!$J$112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grafi'!$Q$112:$V$112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FC-4F17-8D7E-4D38CFEE96C6}"/>
            </c:ext>
          </c:extLst>
        </c:ser>
        <c:ser>
          <c:idx val="1"/>
          <c:order val="2"/>
          <c:tx>
            <c:strRef>
              <c:f>'PODATKI grafi'!$J$113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grafi'!$Q$113:$V$113</c:f>
              <c:numCache>
                <c:formatCode>0</c:formatCode>
                <c:ptCount val="6"/>
                <c:pt idx="0">
                  <c:v>1072.5</c:v>
                </c:pt>
                <c:pt idx="1">
                  <c:v>990</c:v>
                </c:pt>
                <c:pt idx="2">
                  <c:v>907.5</c:v>
                </c:pt>
                <c:pt idx="3">
                  <c:v>825</c:v>
                </c:pt>
                <c:pt idx="4">
                  <c:v>742.5</c:v>
                </c:pt>
                <c:pt idx="5">
                  <c:v>907.5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FC-4F17-8D7E-4D38CFEE9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6538496"/>
        <c:axId val="345236032"/>
      </c:barChart>
      <c:lineChart>
        <c:grouping val="standard"/>
        <c:varyColors val="0"/>
        <c:ser>
          <c:idx val="2"/>
          <c:order val="1"/>
          <c:tx>
            <c:strRef>
              <c:f>'PODATKI grafi'!$J$125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grafi'!$Q$125:$V$125</c:f>
              <c:numCache>
                <c:formatCode>#,##0.0</c:formatCode>
                <c:ptCount val="6"/>
                <c:pt idx="0">
                  <c:v>-98.778290272660797</c:v>
                </c:pt>
                <c:pt idx="1">
                  <c:v>-133.32509554822991</c:v>
                </c:pt>
                <c:pt idx="2">
                  <c:v>-173.72421761128362</c:v>
                </c:pt>
                <c:pt idx="3">
                  <c:v>-213.49761529861394</c:v>
                </c:pt>
                <c:pt idx="4">
                  <c:v>-238.82344347294384</c:v>
                </c:pt>
                <c:pt idx="5">
                  <c:v>-111.90211242451028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FC-4F17-8D7E-4D38CFEE9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538496"/>
        <c:axId val="345236032"/>
      </c:lineChart>
      <c:catAx>
        <c:axId val="346538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low"/>
        <c:crossAx val="345236032"/>
        <c:crosses val="autoZero"/>
        <c:auto val="1"/>
        <c:lblAlgn val="ctr"/>
        <c:lblOffset val="100"/>
        <c:noMultiLvlLbl val="0"/>
      </c:catAx>
      <c:valAx>
        <c:axId val="34523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46538496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grafi'!$Q$158:$V$158</c:f>
              <c:numCache>
                <c:formatCode>0.00</c:formatCode>
                <c:ptCount val="6"/>
                <c:pt idx="0">
                  <c:v>490.76559532473863</c:v>
                </c:pt>
                <c:pt idx="1">
                  <c:v>523.25498045848417</c:v>
                </c:pt>
                <c:pt idx="2">
                  <c:v>561.53708601184303</c:v>
                </c:pt>
                <c:pt idx="3">
                  <c:v>610.51156612914997</c:v>
                </c:pt>
                <c:pt idx="4">
                  <c:v>531.5249014171518</c:v>
                </c:pt>
                <c:pt idx="5">
                  <c:v>496.82681156685777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0-4898-BDB8-EE98D71EFEDE}"/>
            </c:ext>
          </c:extLst>
        </c:ser>
        <c:ser>
          <c:idx val="4"/>
          <c:order val="1"/>
          <c:tx>
            <c:strRef>
              <c:f>'PODATKI grafi'!$P$159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grafi'!$Q$159:$V$159</c:f>
              <c:numCache>
                <c:formatCode>0.00</c:formatCode>
                <c:ptCount val="6"/>
                <c:pt idx="0">
                  <c:v>32.180072796821435</c:v>
                </c:pt>
                <c:pt idx="1">
                  <c:v>36.524466764554745</c:v>
                </c:pt>
                <c:pt idx="2">
                  <c:v>40.598701379119348</c:v>
                </c:pt>
                <c:pt idx="3">
                  <c:v>45.466818939766654</c:v>
                </c:pt>
                <c:pt idx="4">
                  <c:v>32.654658007733815</c:v>
                </c:pt>
                <c:pt idx="5">
                  <c:v>29.4831124108984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C0-4898-BDB8-EE98D71EF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6540544"/>
        <c:axId val="345238336"/>
      </c:areaChart>
      <c:lineChart>
        <c:grouping val="standard"/>
        <c:varyColors val="0"/>
        <c:ser>
          <c:idx val="5"/>
          <c:order val="5"/>
          <c:tx>
            <c:strRef>
              <c:f>'PODATKI grafi'!$P$161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grafi'!$Q$161:$V$161</c:f>
              <c:numCache>
                <c:formatCode>0.000</c:formatCode>
                <c:ptCount val="6"/>
                <c:pt idx="0">
                  <c:v>458.99999999999994</c:v>
                </c:pt>
                <c:pt idx="1">
                  <c:v>458.99999999999989</c:v>
                </c:pt>
                <c:pt idx="2">
                  <c:v>459</c:v>
                </c:pt>
                <c:pt idx="3">
                  <c:v>459</c:v>
                </c:pt>
                <c:pt idx="4">
                  <c:v>459</c:v>
                </c:pt>
                <c:pt idx="5">
                  <c:v>458.99999999999989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C0-4898-BDB8-EE98D71EF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540544"/>
        <c:axId val="345238336"/>
      </c:lineChart>
      <c:lineChart>
        <c:grouping val="standard"/>
        <c:varyColors val="0"/>
        <c:ser>
          <c:idx val="0"/>
          <c:order val="2"/>
          <c:tx>
            <c:strRef>
              <c:f>'PODATKI grafi'!$P$156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grafi'!$Q$156:$V$156</c:f>
              <c:numCache>
                <c:formatCode>0.00</c:formatCode>
                <c:ptCount val="6"/>
                <c:pt idx="0">
                  <c:v>522.94566812156006</c:v>
                </c:pt>
                <c:pt idx="1">
                  <c:v>559.77944722303891</c:v>
                </c:pt>
                <c:pt idx="2">
                  <c:v>602.13578739096238</c:v>
                </c:pt>
                <c:pt idx="3">
                  <c:v>655.97838506891662</c:v>
                </c:pt>
                <c:pt idx="4">
                  <c:v>564.17955942488561</c:v>
                </c:pt>
                <c:pt idx="5">
                  <c:v>526.30992397775617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C0-4898-BDB8-EE98D71EFEDE}"/>
            </c:ext>
          </c:extLst>
        </c:ser>
        <c:ser>
          <c:idx val="1"/>
          <c:order val="3"/>
          <c:tx>
            <c:strRef>
              <c:f>'PODATKI grafi'!$P$157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grafi'!$Q$157:$V$157</c:f>
              <c:numCache>
                <c:formatCode>0.00</c:formatCode>
                <c:ptCount val="6"/>
                <c:pt idx="0">
                  <c:v>513.22620547202041</c:v>
                </c:pt>
                <c:pt idx="1">
                  <c:v>548.74783170265664</c:v>
                </c:pt>
                <c:pt idx="2">
                  <c:v>589.87361619683304</c:v>
                </c:pt>
                <c:pt idx="3">
                  <c:v>642.24587889130169</c:v>
                </c:pt>
                <c:pt idx="4">
                  <c:v>554.3167561042228</c:v>
                </c:pt>
                <c:pt idx="5">
                  <c:v>517.4050339335605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C0-4898-BDB8-EE98D71EFEDE}"/>
            </c:ext>
          </c:extLst>
        </c:ser>
        <c:ser>
          <c:idx val="2"/>
          <c:order val="4"/>
          <c:tx>
            <c:strRef>
              <c:f>'PODATKI grafi'!$P$158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grafi'!$Q$158:$V$158</c:f>
              <c:numCache>
                <c:formatCode>0.00</c:formatCode>
                <c:ptCount val="6"/>
                <c:pt idx="0">
                  <c:v>490.76559532473863</c:v>
                </c:pt>
                <c:pt idx="1">
                  <c:v>523.25498045848417</c:v>
                </c:pt>
                <c:pt idx="2">
                  <c:v>561.53708601184303</c:v>
                </c:pt>
                <c:pt idx="3">
                  <c:v>610.51156612914997</c:v>
                </c:pt>
                <c:pt idx="4">
                  <c:v>531.5249014171518</c:v>
                </c:pt>
                <c:pt idx="5">
                  <c:v>496.82681156685777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C0-4898-BDB8-EE98D71EF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541056"/>
        <c:axId val="345238912"/>
      </c:lineChart>
      <c:catAx>
        <c:axId val="346540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45238336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45238336"/>
        <c:scaling>
          <c:orientation val="minMax"/>
          <c:max val="8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46540544"/>
        <c:crosses val="autoZero"/>
        <c:crossBetween val="midCat"/>
      </c:valAx>
      <c:catAx>
        <c:axId val="34654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5238912"/>
        <c:crossesAt val="25"/>
        <c:auto val="1"/>
        <c:lblAlgn val="ctr"/>
        <c:lblOffset val="100"/>
        <c:noMultiLvlLbl val="0"/>
      </c:catAx>
      <c:valAx>
        <c:axId val="345238912"/>
        <c:scaling>
          <c:orientation val="minMax"/>
          <c:max val="8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46541056"/>
        <c:crosses val="max"/>
        <c:crossBetween val="midCat"/>
        <c:minorUnit val="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8499183940223185"/>
          <c:y val="0.49881657194719176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grafi'!$J$149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grafi'!$Q$149:$V$149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3E-4457-BEF1-C1992F6BD510}"/>
            </c:ext>
          </c:extLst>
        </c:ser>
        <c:ser>
          <c:idx val="1"/>
          <c:order val="2"/>
          <c:tx>
            <c:strRef>
              <c:f>'PODATKI grafi'!$J$113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grafi'!$Q$150:$V$150</c:f>
              <c:numCache>
                <c:formatCode>0</c:formatCode>
                <c:ptCount val="6"/>
                <c:pt idx="0">
                  <c:v>1835.9999999999998</c:v>
                </c:pt>
                <c:pt idx="1">
                  <c:v>1606.4999999999998</c:v>
                </c:pt>
                <c:pt idx="2">
                  <c:v>1377</c:v>
                </c:pt>
                <c:pt idx="3">
                  <c:v>1147.5</c:v>
                </c:pt>
                <c:pt idx="4">
                  <c:v>1377</c:v>
                </c:pt>
                <c:pt idx="5">
                  <c:v>1606.4999999999998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3E-4457-BEF1-C1992F6BD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6541568"/>
        <c:axId val="345241216"/>
      </c:barChart>
      <c:lineChart>
        <c:grouping val="standard"/>
        <c:varyColors val="0"/>
        <c:ser>
          <c:idx val="2"/>
          <c:order val="1"/>
          <c:tx>
            <c:strRef>
              <c:f>'PODATKI grafi'!$J$162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grafi'!$Q$162:$V$162</c:f>
              <c:numCache>
                <c:formatCode>#,##0.0</c:formatCode>
                <c:ptCount val="6"/>
                <c:pt idx="0">
                  <c:v>235.22902264131744</c:v>
                </c:pt>
                <c:pt idx="1">
                  <c:v>133.94762430519745</c:v>
                </c:pt>
                <c:pt idx="2">
                  <c:v>37.754970183230853</c:v>
                </c:pt>
                <c:pt idx="3">
                  <c:v>-51.458309226778283</c:v>
                </c:pt>
                <c:pt idx="4">
                  <c:v>71.387556075847669</c:v>
                </c:pt>
                <c:pt idx="5">
                  <c:v>168.4626636787475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3E-4457-BEF1-C1992F6BD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541568"/>
        <c:axId val="345241216"/>
      </c:lineChart>
      <c:catAx>
        <c:axId val="346541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low"/>
        <c:crossAx val="345241216"/>
        <c:crosses val="autoZero"/>
        <c:auto val="1"/>
        <c:lblAlgn val="ctr"/>
        <c:lblOffset val="100"/>
        <c:noMultiLvlLbl val="0"/>
      </c:catAx>
      <c:valAx>
        <c:axId val="345241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46541568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grafi'!$Q$84:$V$84</c:f>
              <c:numCache>
                <c:formatCode>0.00</c:formatCode>
                <c:ptCount val="6"/>
                <c:pt idx="0">
                  <c:v>254.13039369897089</c:v>
                </c:pt>
                <c:pt idx="1">
                  <c:v>262.7232870991981</c:v>
                </c:pt>
                <c:pt idx="2">
                  <c:v>267.04934136164741</c:v>
                </c:pt>
                <c:pt idx="3">
                  <c:v>282.16433450838753</c:v>
                </c:pt>
                <c:pt idx="4">
                  <c:v>296.91904925994032</c:v>
                </c:pt>
                <c:pt idx="5">
                  <c:v>253.7101275424117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7-4302-8AA0-CDA91F5F77E1}"/>
            </c:ext>
          </c:extLst>
        </c:ser>
        <c:ser>
          <c:idx val="4"/>
          <c:order val="1"/>
          <c:tx>
            <c:strRef>
              <c:f>'PODATKI grafi'!$P$85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grafi'!$Q$85:$V$85</c:f>
              <c:numCache>
                <c:formatCode>0.00</c:formatCode>
                <c:ptCount val="6"/>
                <c:pt idx="0">
                  <c:v>29.416446502555885</c:v>
                </c:pt>
                <c:pt idx="1">
                  <c:v>30.741138568254314</c:v>
                </c:pt>
                <c:pt idx="2">
                  <c:v>31.079212765469663</c:v>
                </c:pt>
                <c:pt idx="3">
                  <c:v>32.410814443575134</c:v>
                </c:pt>
                <c:pt idx="4">
                  <c:v>33.401376517637175</c:v>
                </c:pt>
                <c:pt idx="5">
                  <c:v>27.602725671691843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57-4302-8AA0-CDA91F5F7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258944"/>
        <c:axId val="353242496"/>
      </c:areaChart>
      <c:lineChart>
        <c:grouping val="standard"/>
        <c:varyColors val="0"/>
        <c:ser>
          <c:idx val="5"/>
          <c:order val="5"/>
          <c:tx>
            <c:strRef>
              <c:f>'PODATKI grafi'!$P$87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grafi'!$Q$87:$V$87</c:f>
              <c:numCache>
                <c:formatCode>0.000</c:formatCode>
                <c:ptCount val="6"/>
                <c:pt idx="0">
                  <c:v>185</c:v>
                </c:pt>
                <c:pt idx="1">
                  <c:v>185</c:v>
                </c:pt>
                <c:pt idx="2">
                  <c:v>185</c:v>
                </c:pt>
                <c:pt idx="3">
                  <c:v>185</c:v>
                </c:pt>
                <c:pt idx="4">
                  <c:v>185</c:v>
                </c:pt>
                <c:pt idx="5">
                  <c:v>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57-4302-8AA0-CDA91F5F7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258944"/>
        <c:axId val="353242496"/>
      </c:lineChart>
      <c:lineChart>
        <c:grouping val="standard"/>
        <c:varyColors val="0"/>
        <c:ser>
          <c:idx val="0"/>
          <c:order val="2"/>
          <c:tx>
            <c:strRef>
              <c:f>'PODATKI grafi'!$P$82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grafi'!$Q$82:$V$82</c:f>
              <c:numCache>
                <c:formatCode>0.00</c:formatCode>
                <c:ptCount val="6"/>
                <c:pt idx="0">
                  <c:v>283.54684020152678</c:v>
                </c:pt>
                <c:pt idx="1">
                  <c:v>293.46442566745242</c:v>
                </c:pt>
                <c:pt idx="2">
                  <c:v>298.12855412711707</c:v>
                </c:pt>
                <c:pt idx="3">
                  <c:v>314.57514895196266</c:v>
                </c:pt>
                <c:pt idx="4">
                  <c:v>330.3204257775775</c:v>
                </c:pt>
                <c:pt idx="5">
                  <c:v>281.31285321410354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57-4302-8AA0-CDA91F5F77E1}"/>
            </c:ext>
          </c:extLst>
        </c:ser>
        <c:ser>
          <c:idx val="1"/>
          <c:order val="3"/>
          <c:tx>
            <c:strRef>
              <c:f>'PODATKI grafi'!$P$83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grafi'!$Q$83:$V$83</c:f>
              <c:numCache>
                <c:formatCode>0.00</c:formatCode>
                <c:ptCount val="6"/>
                <c:pt idx="0">
                  <c:v>274.66208550041199</c:v>
                </c:pt>
                <c:pt idx="1">
                  <c:v>284.17956947694728</c:v>
                </c:pt>
                <c:pt idx="2">
                  <c:v>288.74158817591149</c:v>
                </c:pt>
                <c:pt idx="3">
                  <c:v>304.78599457638256</c:v>
                </c:pt>
                <c:pt idx="4">
                  <c:v>320.23208839076915</c:v>
                </c:pt>
                <c:pt idx="5">
                  <c:v>272.97590311192727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57-4302-8AA0-CDA91F5F77E1}"/>
            </c:ext>
          </c:extLst>
        </c:ser>
        <c:ser>
          <c:idx val="2"/>
          <c:order val="4"/>
          <c:tx>
            <c:strRef>
              <c:f>'PODATKI grafi'!$P$84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grafi'!$Q$84:$V$84</c:f>
              <c:numCache>
                <c:formatCode>0.00</c:formatCode>
                <c:ptCount val="6"/>
                <c:pt idx="0">
                  <c:v>254.13039369897089</c:v>
                </c:pt>
                <c:pt idx="1">
                  <c:v>262.7232870991981</c:v>
                </c:pt>
                <c:pt idx="2">
                  <c:v>267.04934136164741</c:v>
                </c:pt>
                <c:pt idx="3">
                  <c:v>282.16433450838753</c:v>
                </c:pt>
                <c:pt idx="4">
                  <c:v>296.91904925994032</c:v>
                </c:pt>
                <c:pt idx="5">
                  <c:v>253.7101275424117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57-4302-8AA0-CDA91F5F7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259456"/>
        <c:axId val="353243072"/>
      </c:lineChart>
      <c:catAx>
        <c:axId val="354258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3242496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3242496"/>
        <c:scaling>
          <c:orientation val="minMax"/>
          <c:max val="225"/>
          <c:min val="5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258944"/>
        <c:crosses val="autoZero"/>
        <c:crossBetween val="midCat"/>
        <c:majorUnit val="25"/>
      </c:valAx>
      <c:catAx>
        <c:axId val="354259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3243072"/>
        <c:crossesAt val="25"/>
        <c:auto val="1"/>
        <c:lblAlgn val="ctr"/>
        <c:lblOffset val="100"/>
        <c:noMultiLvlLbl val="0"/>
      </c:catAx>
      <c:valAx>
        <c:axId val="353243072"/>
        <c:scaling>
          <c:orientation val="minMax"/>
          <c:max val="225"/>
          <c:min val="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259456"/>
        <c:crosses val="max"/>
        <c:crossBetween val="midCat"/>
        <c:majorUnit val="25"/>
        <c:minorUnit val="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8499188340543993"/>
          <c:y val="0.55790090628292088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5669057625777392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grafi'!$J$75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grafi'!$Q$75:$V$75</c:f>
              <c:numCache>
                <c:formatCode>0.0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88-47DE-9C6A-3BF22BE70247}"/>
            </c:ext>
          </c:extLst>
        </c:ser>
        <c:ser>
          <c:idx val="1"/>
          <c:order val="2"/>
          <c:tx>
            <c:strRef>
              <c:f>'PODATKI grafi'!$J$76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grafi'!$Q$76:$V$76</c:f>
              <c:numCache>
                <c:formatCode>0</c:formatCode>
                <c:ptCount val="6"/>
                <c:pt idx="0">
                  <c:v>1295</c:v>
                </c:pt>
                <c:pt idx="1">
                  <c:v>1202.5</c:v>
                </c:pt>
                <c:pt idx="2">
                  <c:v>1110</c:v>
                </c:pt>
                <c:pt idx="3">
                  <c:v>1017.5</c:v>
                </c:pt>
                <c:pt idx="4">
                  <c:v>925</c:v>
                </c:pt>
                <c:pt idx="5">
                  <c:v>1110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88-47DE-9C6A-3BF22BE70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4260992"/>
        <c:axId val="353245376"/>
      </c:barChart>
      <c:lineChart>
        <c:grouping val="standard"/>
        <c:varyColors val="0"/>
        <c:ser>
          <c:idx val="2"/>
          <c:order val="1"/>
          <c:tx>
            <c:strRef>
              <c:f>'PODATKI grafi'!$J$88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grafi'!$Q$81:$V$81</c:f>
              <c:strCache>
                <c:ptCount val="6"/>
                <c:pt idx="0">
                  <c:v>7000;1</c:v>
                </c:pt>
                <c:pt idx="1">
                  <c:v>6500;1</c:v>
                </c:pt>
                <c:pt idx="2">
                  <c:v>6000;1</c:v>
                </c:pt>
                <c:pt idx="3">
                  <c:v>5500;1</c:v>
                </c:pt>
                <c:pt idx="4">
                  <c:v>5000;1</c:v>
                </c:pt>
                <c:pt idx="5">
                  <c:v>6000;5</c:v>
                </c:pt>
              </c:strCache>
            </c:strRef>
          </c:cat>
          <c:val>
            <c:numRef>
              <c:f>'PODATKI grafi'!$Q$88:$V$88</c:f>
              <c:numCache>
                <c:formatCode>#,##0.0</c:formatCode>
                <c:ptCount val="6"/>
                <c:pt idx="0">
                  <c:v>-31.359562716571418</c:v>
                </c:pt>
                <c:pt idx="1">
                  <c:v>-61.530023955987417</c:v>
                </c:pt>
                <c:pt idx="2">
                  <c:v>-72.032244048239818</c:v>
                </c:pt>
                <c:pt idx="3">
                  <c:v>-127.42118747845575</c:v>
                </c:pt>
                <c:pt idx="4">
                  <c:v>-170.98854610279614</c:v>
                </c:pt>
                <c:pt idx="5">
                  <c:v>-42.232888457063382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88-47DE-9C6A-3BF22BE70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260992"/>
        <c:axId val="353245376"/>
      </c:lineChart>
      <c:catAx>
        <c:axId val="354260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3245376"/>
        <c:crosses val="autoZero"/>
        <c:auto val="1"/>
        <c:lblAlgn val="ctr"/>
        <c:lblOffset val="100"/>
        <c:noMultiLvlLbl val="0"/>
      </c:catAx>
      <c:valAx>
        <c:axId val="353245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4260992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282112022832679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grafi'!$Q$121:$V$121</c:f>
              <c:numCache>
                <c:formatCode>0.00</c:formatCode>
                <c:ptCount val="6"/>
                <c:pt idx="0">
                  <c:v>253.30053384807456</c:v>
                </c:pt>
                <c:pt idx="1">
                  <c:v>262.5519596466267</c:v>
                </c:pt>
                <c:pt idx="2">
                  <c:v>274.59379225056728</c:v>
                </c:pt>
                <c:pt idx="3">
                  <c:v>291.72575067693583</c:v>
                </c:pt>
                <c:pt idx="4">
                  <c:v>305.46040234744174</c:v>
                </c:pt>
                <c:pt idx="5">
                  <c:v>244.97233350971885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D-4BA8-8DD9-6F63B5072B1F}"/>
            </c:ext>
          </c:extLst>
        </c:ser>
        <c:ser>
          <c:idx val="4"/>
          <c:order val="1"/>
          <c:tx>
            <c:strRef>
              <c:f>'PODATKI grafi'!$P$122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grafi'!$Q$122:$V$122</c:f>
              <c:numCache>
                <c:formatCode>0.00</c:formatCode>
                <c:ptCount val="6"/>
                <c:pt idx="0">
                  <c:v>32.899516567372245</c:v>
                </c:pt>
                <c:pt idx="1">
                  <c:v>33.413243432824459</c:v>
                </c:pt>
                <c:pt idx="2">
                  <c:v>34.007063688728863</c:v>
                </c:pt>
                <c:pt idx="3">
                  <c:v>36.174236867045181</c:v>
                </c:pt>
                <c:pt idx="4">
                  <c:v>36.940273125950739</c:v>
                </c:pt>
                <c:pt idx="5">
                  <c:v>21.674673268376239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D-4BA8-8DD9-6F63B5072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316288"/>
        <c:axId val="354361920"/>
      </c:areaChart>
      <c:lineChart>
        <c:grouping val="standard"/>
        <c:varyColors val="0"/>
        <c:ser>
          <c:idx val="5"/>
          <c:order val="5"/>
          <c:tx>
            <c:strRef>
              <c:f>'PODATKI grafi'!$P$124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grafi'!$Q$124:$V$124</c:f>
              <c:numCache>
                <c:formatCode>0.000</c:formatCode>
                <c:ptCount val="6"/>
                <c:pt idx="0">
                  <c:v>165</c:v>
                </c:pt>
                <c:pt idx="1">
                  <c:v>165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1D-4BA8-8DD9-6F63B5072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316288"/>
        <c:axId val="354361920"/>
      </c:lineChart>
      <c:lineChart>
        <c:grouping val="standard"/>
        <c:varyColors val="0"/>
        <c:ser>
          <c:idx val="0"/>
          <c:order val="2"/>
          <c:tx>
            <c:strRef>
              <c:f>'PODATKI grafi'!$P$119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grafi'!$Q$119:$V$119</c:f>
              <c:numCache>
                <c:formatCode>0.00</c:formatCode>
                <c:ptCount val="6"/>
                <c:pt idx="0">
                  <c:v>286.20005041544681</c:v>
                </c:pt>
                <c:pt idx="1">
                  <c:v>295.96520307945116</c:v>
                </c:pt>
                <c:pt idx="2">
                  <c:v>308.60085593929614</c:v>
                </c:pt>
                <c:pt idx="3">
                  <c:v>327.89998754398101</c:v>
                </c:pt>
                <c:pt idx="4">
                  <c:v>342.40067547339248</c:v>
                </c:pt>
                <c:pt idx="5">
                  <c:v>266.64700677809509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1D-4BA8-8DD9-6F63B5072B1F}"/>
            </c:ext>
          </c:extLst>
        </c:ser>
        <c:ser>
          <c:idx val="1"/>
          <c:order val="3"/>
          <c:tx>
            <c:strRef>
              <c:f>'PODATKI grafi'!$P$120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grafi'!$Q$120:$V$120</c:f>
              <c:numCache>
                <c:formatCode>0.00</c:formatCode>
                <c:ptCount val="6"/>
                <c:pt idx="0">
                  <c:v>276.26329158698104</c:v>
                </c:pt>
                <c:pt idx="1">
                  <c:v>285.87328148574392</c:v>
                </c:pt>
                <c:pt idx="2">
                  <c:v>298.32958068675026</c:v>
                </c:pt>
                <c:pt idx="3">
                  <c:v>316.97415321399853</c:v>
                </c:pt>
                <c:pt idx="4">
                  <c:v>331.24347246834094</c:v>
                </c:pt>
                <c:pt idx="5">
                  <c:v>260.10052757641449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41D-4BA8-8DD9-6F63B5072B1F}"/>
            </c:ext>
          </c:extLst>
        </c:ser>
        <c:ser>
          <c:idx val="2"/>
          <c:order val="4"/>
          <c:tx>
            <c:strRef>
              <c:f>'PODATKI grafi'!$P$121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grafi'!$Q$121:$V$121</c:f>
              <c:numCache>
                <c:formatCode>0.00</c:formatCode>
                <c:ptCount val="6"/>
                <c:pt idx="0">
                  <c:v>253.30053384807456</c:v>
                </c:pt>
                <c:pt idx="1">
                  <c:v>262.5519596466267</c:v>
                </c:pt>
                <c:pt idx="2">
                  <c:v>274.59379225056728</c:v>
                </c:pt>
                <c:pt idx="3">
                  <c:v>291.72575067693583</c:v>
                </c:pt>
                <c:pt idx="4">
                  <c:v>305.46040234744174</c:v>
                </c:pt>
                <c:pt idx="5">
                  <c:v>244.97233350971885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1D-4BA8-8DD9-6F63B5072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316800"/>
        <c:axId val="354362496"/>
      </c:lineChart>
      <c:catAx>
        <c:axId val="354316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361920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4361920"/>
        <c:scaling>
          <c:orientation val="minMax"/>
          <c:max val="225"/>
          <c:min val="5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316288"/>
        <c:crosses val="autoZero"/>
        <c:crossBetween val="midCat"/>
        <c:majorUnit val="25"/>
      </c:valAx>
      <c:catAx>
        <c:axId val="354316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4362496"/>
        <c:crossesAt val="25"/>
        <c:auto val="1"/>
        <c:lblAlgn val="ctr"/>
        <c:lblOffset val="100"/>
        <c:noMultiLvlLbl val="0"/>
      </c:catAx>
      <c:valAx>
        <c:axId val="354362496"/>
        <c:scaling>
          <c:orientation val="minMax"/>
          <c:max val="225"/>
          <c:min val="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316800"/>
        <c:crosses val="max"/>
        <c:crossBetween val="midCat"/>
        <c:majorUnit val="25"/>
        <c:minorUnit val="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8499188340543993"/>
          <c:y val="0.55790090628292088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grafi'!$J$112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grafi'!$Q$112:$V$112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5-476A-93DB-2634F3455AC3}"/>
            </c:ext>
          </c:extLst>
        </c:ser>
        <c:ser>
          <c:idx val="1"/>
          <c:order val="2"/>
          <c:tx>
            <c:strRef>
              <c:f>'PODATKI grafi'!$J$113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grafi'!$Q$113:$V$113</c:f>
              <c:numCache>
                <c:formatCode>0</c:formatCode>
                <c:ptCount val="6"/>
                <c:pt idx="0">
                  <c:v>1072.5</c:v>
                </c:pt>
                <c:pt idx="1">
                  <c:v>990</c:v>
                </c:pt>
                <c:pt idx="2">
                  <c:v>907.5</c:v>
                </c:pt>
                <c:pt idx="3">
                  <c:v>825</c:v>
                </c:pt>
                <c:pt idx="4">
                  <c:v>742.5</c:v>
                </c:pt>
                <c:pt idx="5">
                  <c:v>907.5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95-476A-93DB-2634F3455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4319872"/>
        <c:axId val="354364800"/>
      </c:barChart>
      <c:lineChart>
        <c:grouping val="standard"/>
        <c:varyColors val="0"/>
        <c:ser>
          <c:idx val="2"/>
          <c:order val="1"/>
          <c:tx>
            <c:strRef>
              <c:f>'PODATKI grafi'!$J$125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grafi'!$Q$125:$V$125</c:f>
              <c:numCache>
                <c:formatCode>#,##0.0</c:formatCode>
                <c:ptCount val="6"/>
                <c:pt idx="0">
                  <c:v>-98.778290272660797</c:v>
                </c:pt>
                <c:pt idx="1">
                  <c:v>-133.32509554822991</c:v>
                </c:pt>
                <c:pt idx="2">
                  <c:v>-173.72421761128362</c:v>
                </c:pt>
                <c:pt idx="3">
                  <c:v>-213.49761529861394</c:v>
                </c:pt>
                <c:pt idx="4">
                  <c:v>-238.82344347294384</c:v>
                </c:pt>
                <c:pt idx="5">
                  <c:v>-111.90211242451028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95-476A-93DB-2634F3455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319872"/>
        <c:axId val="354364800"/>
      </c:lineChart>
      <c:catAx>
        <c:axId val="354319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4364800"/>
        <c:crosses val="autoZero"/>
        <c:auto val="1"/>
        <c:lblAlgn val="ctr"/>
        <c:lblOffset val="100"/>
        <c:noMultiLvlLbl val="0"/>
      </c:catAx>
      <c:valAx>
        <c:axId val="354364800"/>
        <c:scaling>
          <c:orientation val="minMax"/>
          <c:max val="17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4319872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grafi'!$Q$158:$V$158</c:f>
              <c:numCache>
                <c:formatCode>0.00</c:formatCode>
                <c:ptCount val="6"/>
                <c:pt idx="0">
                  <c:v>490.76559532473863</c:v>
                </c:pt>
                <c:pt idx="1">
                  <c:v>523.25498045848417</c:v>
                </c:pt>
                <c:pt idx="2">
                  <c:v>561.53708601184303</c:v>
                </c:pt>
                <c:pt idx="3">
                  <c:v>610.51156612914997</c:v>
                </c:pt>
                <c:pt idx="4">
                  <c:v>531.5249014171518</c:v>
                </c:pt>
                <c:pt idx="5">
                  <c:v>496.82681156685777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26-4F4E-A0F0-D312AE32BEDC}"/>
            </c:ext>
          </c:extLst>
        </c:ser>
        <c:ser>
          <c:idx val="4"/>
          <c:order val="1"/>
          <c:tx>
            <c:strRef>
              <c:f>'PODATKI grafi'!$P$159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grafi'!$Q$159:$V$159</c:f>
              <c:numCache>
                <c:formatCode>0.00</c:formatCode>
                <c:ptCount val="6"/>
                <c:pt idx="0">
                  <c:v>32.180072796821435</c:v>
                </c:pt>
                <c:pt idx="1">
                  <c:v>36.524466764554745</c:v>
                </c:pt>
                <c:pt idx="2">
                  <c:v>40.598701379119348</c:v>
                </c:pt>
                <c:pt idx="3">
                  <c:v>45.466818939766654</c:v>
                </c:pt>
                <c:pt idx="4">
                  <c:v>32.654658007733815</c:v>
                </c:pt>
                <c:pt idx="5">
                  <c:v>29.4831124108984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6-4F4E-A0F0-D312AE32B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575360"/>
        <c:axId val="354367104"/>
      </c:areaChart>
      <c:lineChart>
        <c:grouping val="standard"/>
        <c:varyColors val="0"/>
        <c:ser>
          <c:idx val="5"/>
          <c:order val="5"/>
          <c:tx>
            <c:strRef>
              <c:f>'PODATKI grafi'!$P$161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grafi'!$Q$118:$V$118</c:f>
              <c:strCache>
                <c:ptCount val="6"/>
                <c:pt idx="0">
                  <c:v>6500;1</c:v>
                </c:pt>
                <c:pt idx="1">
                  <c:v>6000;1</c:v>
                </c:pt>
                <c:pt idx="2">
                  <c:v>5500;1</c:v>
                </c:pt>
                <c:pt idx="3">
                  <c:v>5000;1</c:v>
                </c:pt>
                <c:pt idx="4">
                  <c:v>4500;1</c:v>
                </c:pt>
                <c:pt idx="5">
                  <c:v>5500;5</c:v>
                </c:pt>
              </c:strCache>
            </c:strRef>
          </c:cat>
          <c:val>
            <c:numRef>
              <c:f>'PODATKI grafi'!$Q$161:$V$161</c:f>
              <c:numCache>
                <c:formatCode>0.000</c:formatCode>
                <c:ptCount val="6"/>
                <c:pt idx="0">
                  <c:v>458.99999999999994</c:v>
                </c:pt>
                <c:pt idx="1">
                  <c:v>458.99999999999989</c:v>
                </c:pt>
                <c:pt idx="2">
                  <c:v>459</c:v>
                </c:pt>
                <c:pt idx="3">
                  <c:v>459</c:v>
                </c:pt>
                <c:pt idx="4">
                  <c:v>459</c:v>
                </c:pt>
                <c:pt idx="5">
                  <c:v>458.99999999999989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26-4F4E-A0F0-D312AE32B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575360"/>
        <c:axId val="354367104"/>
      </c:lineChart>
      <c:lineChart>
        <c:grouping val="standard"/>
        <c:varyColors val="0"/>
        <c:ser>
          <c:idx val="0"/>
          <c:order val="2"/>
          <c:tx>
            <c:strRef>
              <c:f>'PODATKI grafi'!$P$156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grafi'!$Q$156:$V$156</c:f>
              <c:numCache>
                <c:formatCode>0.00</c:formatCode>
                <c:ptCount val="6"/>
                <c:pt idx="0">
                  <c:v>522.94566812156006</c:v>
                </c:pt>
                <c:pt idx="1">
                  <c:v>559.77944722303891</c:v>
                </c:pt>
                <c:pt idx="2">
                  <c:v>602.13578739096238</c:v>
                </c:pt>
                <c:pt idx="3">
                  <c:v>655.97838506891662</c:v>
                </c:pt>
                <c:pt idx="4">
                  <c:v>564.17955942488561</c:v>
                </c:pt>
                <c:pt idx="5">
                  <c:v>526.30992397775617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26-4F4E-A0F0-D312AE32BEDC}"/>
            </c:ext>
          </c:extLst>
        </c:ser>
        <c:ser>
          <c:idx val="1"/>
          <c:order val="3"/>
          <c:tx>
            <c:strRef>
              <c:f>'PODATKI grafi'!$P$157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grafi'!$Q$157:$V$157</c:f>
              <c:numCache>
                <c:formatCode>0.00</c:formatCode>
                <c:ptCount val="6"/>
                <c:pt idx="0">
                  <c:v>513.22620547202041</c:v>
                </c:pt>
                <c:pt idx="1">
                  <c:v>548.74783170265664</c:v>
                </c:pt>
                <c:pt idx="2">
                  <c:v>589.87361619683304</c:v>
                </c:pt>
                <c:pt idx="3">
                  <c:v>642.24587889130169</c:v>
                </c:pt>
                <c:pt idx="4">
                  <c:v>554.3167561042228</c:v>
                </c:pt>
                <c:pt idx="5">
                  <c:v>517.4050339335605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26-4F4E-A0F0-D312AE32BEDC}"/>
            </c:ext>
          </c:extLst>
        </c:ser>
        <c:ser>
          <c:idx val="2"/>
          <c:order val="4"/>
          <c:tx>
            <c:strRef>
              <c:f>'PODATKI grafi'!$P$158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grafi'!$Q$158:$V$158</c:f>
              <c:numCache>
                <c:formatCode>0.00</c:formatCode>
                <c:ptCount val="6"/>
                <c:pt idx="0">
                  <c:v>490.76559532473863</c:v>
                </c:pt>
                <c:pt idx="1">
                  <c:v>523.25498045848417</c:v>
                </c:pt>
                <c:pt idx="2">
                  <c:v>561.53708601184303</c:v>
                </c:pt>
                <c:pt idx="3">
                  <c:v>610.51156612914997</c:v>
                </c:pt>
                <c:pt idx="4">
                  <c:v>531.5249014171518</c:v>
                </c:pt>
                <c:pt idx="5">
                  <c:v>496.82681156685777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26-4F4E-A0F0-D312AE32B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319360"/>
        <c:axId val="354367680"/>
      </c:lineChart>
      <c:catAx>
        <c:axId val="35457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367104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4367104"/>
        <c:scaling>
          <c:orientation val="minMax"/>
          <c:max val="450"/>
          <c:min val="1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575360"/>
        <c:crosses val="autoZero"/>
        <c:crossBetween val="midCat"/>
        <c:majorUnit val="50"/>
      </c:valAx>
      <c:catAx>
        <c:axId val="354319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4367680"/>
        <c:crossesAt val="25"/>
        <c:auto val="1"/>
        <c:lblAlgn val="ctr"/>
        <c:lblOffset val="100"/>
        <c:noMultiLvlLbl val="0"/>
      </c:catAx>
      <c:valAx>
        <c:axId val="354367680"/>
        <c:scaling>
          <c:orientation val="minMax"/>
          <c:max val="450"/>
          <c:min val="1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319360"/>
        <c:crosses val="max"/>
        <c:crossBetween val="midCat"/>
        <c:minorUnit val="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8499188340543993"/>
          <c:y val="0.55790090628292088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grafi'!$J$149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grafi'!$Q$149:$V$149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1-46E4-AA0E-1656FDCDA2C8}"/>
            </c:ext>
          </c:extLst>
        </c:ser>
        <c:ser>
          <c:idx val="1"/>
          <c:order val="2"/>
          <c:tx>
            <c:strRef>
              <c:f>'PODATKI grafi'!$J$113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grafi'!$Q$150:$V$150</c:f>
              <c:numCache>
                <c:formatCode>0</c:formatCode>
                <c:ptCount val="6"/>
                <c:pt idx="0">
                  <c:v>1835.9999999999998</c:v>
                </c:pt>
                <c:pt idx="1">
                  <c:v>1606.4999999999998</c:v>
                </c:pt>
                <c:pt idx="2">
                  <c:v>1377</c:v>
                </c:pt>
                <c:pt idx="3">
                  <c:v>1147.5</c:v>
                </c:pt>
                <c:pt idx="4">
                  <c:v>1377</c:v>
                </c:pt>
                <c:pt idx="5">
                  <c:v>1606.4999999999998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11-46E4-AA0E-1656FDCDA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4576896"/>
        <c:axId val="354714176"/>
      </c:barChart>
      <c:lineChart>
        <c:grouping val="standard"/>
        <c:varyColors val="0"/>
        <c:ser>
          <c:idx val="2"/>
          <c:order val="1"/>
          <c:tx>
            <c:strRef>
              <c:f>'PODATKI grafi'!$J$162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grafi'!$Q$155:$V$155</c:f>
              <c:strCache>
                <c:ptCount val="6"/>
                <c:pt idx="0">
                  <c:v>4000;1</c:v>
                </c:pt>
                <c:pt idx="1">
                  <c:v>3500;1</c:v>
                </c:pt>
                <c:pt idx="2">
                  <c:v>3000;1</c:v>
                </c:pt>
                <c:pt idx="3">
                  <c:v>2500;1</c:v>
                </c:pt>
                <c:pt idx="4">
                  <c:v>3000;5</c:v>
                </c:pt>
                <c:pt idx="5">
                  <c:v>3500;5</c:v>
                </c:pt>
              </c:strCache>
            </c:strRef>
          </c:cat>
          <c:val>
            <c:numRef>
              <c:f>'PODATKI grafi'!$Q$162:$V$162</c:f>
              <c:numCache>
                <c:formatCode>#,##0.0</c:formatCode>
                <c:ptCount val="6"/>
                <c:pt idx="0">
                  <c:v>235.22902264131744</c:v>
                </c:pt>
                <c:pt idx="1">
                  <c:v>133.94762430519745</c:v>
                </c:pt>
                <c:pt idx="2">
                  <c:v>37.754970183230853</c:v>
                </c:pt>
                <c:pt idx="3">
                  <c:v>-51.458309226778283</c:v>
                </c:pt>
                <c:pt idx="4">
                  <c:v>71.387556075847669</c:v>
                </c:pt>
                <c:pt idx="5">
                  <c:v>168.4626636787475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11-46E4-AA0E-1656FDCDA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576896"/>
        <c:axId val="354714176"/>
      </c:lineChart>
      <c:catAx>
        <c:axId val="354576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4714176"/>
        <c:crosses val="autoZero"/>
        <c:auto val="1"/>
        <c:lblAlgn val="ctr"/>
        <c:lblOffset val="100"/>
        <c:noMultiLvlLbl val="0"/>
      </c:catAx>
      <c:valAx>
        <c:axId val="354714176"/>
        <c:scaling>
          <c:orientation val="minMax"/>
          <c:max val="17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4576896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grafi'!$Q$195:$V$195</c:f>
              <c:numCache>
                <c:formatCode>0.00</c:formatCode>
                <c:ptCount val="6"/>
                <c:pt idx="0">
                  <c:v>215.46477581049754</c:v>
                </c:pt>
                <c:pt idx="1">
                  <c:v>220.83836278938614</c:v>
                </c:pt>
                <c:pt idx="2">
                  <c:v>230.47926402202509</c:v>
                </c:pt>
                <c:pt idx="3">
                  <c:v>242.19135128960281</c:v>
                </c:pt>
                <c:pt idx="4">
                  <c:v>253.15425134667785</c:v>
                </c:pt>
                <c:pt idx="5">
                  <c:v>221.30033136764621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4-493F-82A1-49E118157CFD}"/>
            </c:ext>
          </c:extLst>
        </c:ser>
        <c:ser>
          <c:idx val="4"/>
          <c:order val="1"/>
          <c:tx>
            <c:strRef>
              <c:f>'PODATKI grafi'!$P$196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grafi'!$Q$196:$V$196</c:f>
              <c:numCache>
                <c:formatCode>0.00</c:formatCode>
                <c:ptCount val="6"/>
                <c:pt idx="0">
                  <c:v>12.897435706900723</c:v>
                </c:pt>
                <c:pt idx="1">
                  <c:v>13.256148078120106</c:v>
                </c:pt>
                <c:pt idx="2">
                  <c:v>14.533532231795135</c:v>
                </c:pt>
                <c:pt idx="3">
                  <c:v>16.094709898161938</c:v>
                </c:pt>
                <c:pt idx="4">
                  <c:v>18.046181981120384</c:v>
                </c:pt>
                <c:pt idx="5">
                  <c:v>11.940356910439306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4-493F-82A1-49E118157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845184"/>
        <c:axId val="354716480"/>
      </c:areaChart>
      <c:lineChart>
        <c:grouping val="standard"/>
        <c:varyColors val="0"/>
        <c:ser>
          <c:idx val="5"/>
          <c:order val="5"/>
          <c:tx>
            <c:strRef>
              <c:f>'PODATKI grafi'!$P$198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grafi'!$Q$198:$V$198</c:f>
              <c:numCache>
                <c:formatCode>0.000</c:formatCode>
                <c:ptCount val="6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14-493F-82A1-49E118157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845184"/>
        <c:axId val="354716480"/>
      </c:lineChart>
      <c:lineChart>
        <c:grouping val="standard"/>
        <c:varyColors val="0"/>
        <c:ser>
          <c:idx val="0"/>
          <c:order val="2"/>
          <c:tx>
            <c:strRef>
              <c:f>'PODATKI grafi'!$P$193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grafi'!$Q$193:$V$193</c:f>
              <c:numCache>
                <c:formatCode>0.00</c:formatCode>
                <c:ptCount val="6"/>
                <c:pt idx="0">
                  <c:v>228.36221151739826</c:v>
                </c:pt>
                <c:pt idx="1">
                  <c:v>234.09451086750624</c:v>
                </c:pt>
                <c:pt idx="2">
                  <c:v>245.01279625382023</c:v>
                </c:pt>
                <c:pt idx="3">
                  <c:v>258.28606118776474</c:v>
                </c:pt>
                <c:pt idx="4">
                  <c:v>271.20043332779824</c:v>
                </c:pt>
                <c:pt idx="5">
                  <c:v>233.24068827808551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14-493F-82A1-49E118157CFD}"/>
            </c:ext>
          </c:extLst>
        </c:ser>
        <c:ser>
          <c:idx val="1"/>
          <c:order val="3"/>
          <c:tx>
            <c:strRef>
              <c:f>'PODATKI grafi'!$P$194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grafi'!$Q$194:$V$194</c:f>
              <c:numCache>
                <c:formatCode>0.00</c:formatCode>
                <c:ptCount val="6"/>
                <c:pt idx="0">
                  <c:v>224.46675281475532</c:v>
                </c:pt>
                <c:pt idx="1">
                  <c:v>230.09070898254649</c:v>
                </c:pt>
                <c:pt idx="2">
                  <c:v>240.62318145758621</c:v>
                </c:pt>
                <c:pt idx="3">
                  <c:v>253.42491830912547</c:v>
                </c:pt>
                <c:pt idx="4">
                  <c:v>265.74988034615239</c:v>
                </c:pt>
                <c:pt idx="5">
                  <c:v>229.63429951240659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14-493F-82A1-49E118157CFD}"/>
            </c:ext>
          </c:extLst>
        </c:ser>
        <c:ser>
          <c:idx val="2"/>
          <c:order val="4"/>
          <c:tx>
            <c:strRef>
              <c:f>'PODATKI grafi'!$P$195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grafi'!$Q$195:$V$195</c:f>
              <c:numCache>
                <c:formatCode>0.00</c:formatCode>
                <c:ptCount val="6"/>
                <c:pt idx="0">
                  <c:v>215.46477581049754</c:v>
                </c:pt>
                <c:pt idx="1">
                  <c:v>220.83836278938614</c:v>
                </c:pt>
                <c:pt idx="2">
                  <c:v>230.47926402202509</c:v>
                </c:pt>
                <c:pt idx="3">
                  <c:v>242.19135128960281</c:v>
                </c:pt>
                <c:pt idx="4">
                  <c:v>253.15425134667785</c:v>
                </c:pt>
                <c:pt idx="5">
                  <c:v>221.30033136764621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14-493F-82A1-49E118157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845696"/>
        <c:axId val="354717056"/>
      </c:lineChart>
      <c:catAx>
        <c:axId val="354845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716480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4716480"/>
        <c:scaling>
          <c:orientation val="minMax"/>
          <c:max val="200"/>
          <c:min val="5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845184"/>
        <c:crosses val="autoZero"/>
        <c:crossBetween val="midCat"/>
        <c:majorUnit val="25"/>
      </c:valAx>
      <c:catAx>
        <c:axId val="354845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4717056"/>
        <c:crossesAt val="25"/>
        <c:auto val="1"/>
        <c:lblAlgn val="ctr"/>
        <c:lblOffset val="100"/>
        <c:noMultiLvlLbl val="0"/>
      </c:catAx>
      <c:valAx>
        <c:axId val="354717056"/>
        <c:scaling>
          <c:orientation val="minMax"/>
          <c:max val="200"/>
          <c:min val="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845696"/>
        <c:crosses val="max"/>
        <c:crossBetween val="midCat"/>
        <c:minorUnit val="2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8499188340543993"/>
          <c:y val="0.55790090628292088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grafi'!$J$186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grafi'!$Q$186:$V$186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73-4D6B-B36B-ED57E76F0485}"/>
            </c:ext>
          </c:extLst>
        </c:ser>
        <c:ser>
          <c:idx val="1"/>
          <c:order val="2"/>
          <c:tx>
            <c:strRef>
              <c:f>'PODATKI grafi'!$J$187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grafi'!$Q$187:$V$187</c:f>
              <c:numCache>
                <c:formatCode>0</c:formatCode>
                <c:ptCount val="6"/>
                <c:pt idx="0">
                  <c:v>2760</c:v>
                </c:pt>
                <c:pt idx="1">
                  <c:v>2530</c:v>
                </c:pt>
                <c:pt idx="2">
                  <c:v>2300</c:v>
                </c:pt>
                <c:pt idx="3">
                  <c:v>2070</c:v>
                </c:pt>
                <c:pt idx="4">
                  <c:v>1840</c:v>
                </c:pt>
                <c:pt idx="5">
                  <c:v>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73-4D6B-B36B-ED57E76F0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4847232"/>
        <c:axId val="354719360"/>
      </c:barChart>
      <c:lineChart>
        <c:grouping val="standard"/>
        <c:varyColors val="0"/>
        <c:ser>
          <c:idx val="2"/>
          <c:order val="1"/>
          <c:tx>
            <c:strRef>
              <c:f>'PODATKI grafi'!$J$199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grafi'!$Q$192:$V$192</c:f>
              <c:strCache>
                <c:ptCount val="6"/>
                <c:pt idx="0">
                  <c:v>12000;1</c:v>
                </c:pt>
                <c:pt idx="1">
                  <c:v>11000;1</c:v>
                </c:pt>
                <c:pt idx="2">
                  <c:v>10000;1</c:v>
                </c:pt>
                <c:pt idx="3">
                  <c:v>9000;1</c:v>
                </c:pt>
                <c:pt idx="4">
                  <c:v>8000;1</c:v>
                </c:pt>
                <c:pt idx="5">
                  <c:v>10000;5</c:v>
                </c:pt>
              </c:strCache>
            </c:strRef>
          </c:cat>
          <c:val>
            <c:numRef>
              <c:f>'PODATKI grafi'!$Q$199:$V$199</c:f>
              <c:numCache>
                <c:formatCode>#,##0.0</c:formatCode>
                <c:ptCount val="6"/>
                <c:pt idx="0">
                  <c:v>595.95799957484724</c:v>
                </c:pt>
                <c:pt idx="1">
                  <c:v>501.64146075466579</c:v>
                </c:pt>
                <c:pt idx="2">
                  <c:v>393.09185786330249</c:v>
                </c:pt>
                <c:pt idx="3">
                  <c:v>285.13604480480694</c:v>
                </c:pt>
                <c:pt idx="4">
                  <c:v>206.13188174631182</c:v>
                </c:pt>
                <c:pt idx="5">
                  <c:v>426.59361871755982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73-4D6B-B36B-ED57E76F0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847232"/>
        <c:axId val="354719360"/>
      </c:lineChart>
      <c:catAx>
        <c:axId val="354847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4719360"/>
        <c:crosses val="autoZero"/>
        <c:auto val="1"/>
        <c:lblAlgn val="ctr"/>
        <c:lblOffset val="100"/>
        <c:noMultiLvlLbl val="0"/>
      </c:catAx>
      <c:valAx>
        <c:axId val="354719360"/>
        <c:scaling>
          <c:orientation val="minMax"/>
          <c:max val="22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4847232"/>
        <c:crosses val="autoZero"/>
        <c:crossBetween val="between"/>
        <c:majorUnit val="25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grafi'!$Q$232:$V$232</c:f>
              <c:numCache>
                <c:formatCode>0.00</c:formatCode>
                <c:ptCount val="6"/>
                <c:pt idx="0">
                  <c:v>194.58363296007366</c:v>
                </c:pt>
                <c:pt idx="1">
                  <c:v>231.15222978720359</c:v>
                </c:pt>
                <c:pt idx="2">
                  <c:v>290.2410905839244</c:v>
                </c:pt>
                <c:pt idx="3">
                  <c:v>334.56620151060969</c:v>
                </c:pt>
                <c:pt idx="4">
                  <c:v>300.80774682950727</c:v>
                </c:pt>
                <c:pt idx="5">
                  <c:v>234.39963663141171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5-4C2E-B64A-94761B399909}"/>
            </c:ext>
          </c:extLst>
        </c:ser>
        <c:ser>
          <c:idx val="4"/>
          <c:order val="1"/>
          <c:tx>
            <c:strRef>
              <c:f>'PODATKI grafi'!$P$233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grafi'!$Q$233:$V$233</c:f>
              <c:numCache>
                <c:formatCode>0.00</c:formatCode>
                <c:ptCount val="6"/>
                <c:pt idx="0">
                  <c:v>51.594300924478318</c:v>
                </c:pt>
                <c:pt idx="1">
                  <c:v>56.157737647720154</c:v>
                </c:pt>
                <c:pt idx="2">
                  <c:v>63.51508931750277</c:v>
                </c:pt>
                <c:pt idx="3">
                  <c:v>69.217947091200756</c:v>
                </c:pt>
                <c:pt idx="4">
                  <c:v>67.670810093035584</c:v>
                </c:pt>
                <c:pt idx="5">
                  <c:v>57.453327184260189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5-4C2E-B64A-94761B399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156480"/>
        <c:axId val="354934784"/>
      </c:areaChart>
      <c:lineChart>
        <c:grouping val="standard"/>
        <c:varyColors val="0"/>
        <c:ser>
          <c:idx val="5"/>
          <c:order val="5"/>
          <c:tx>
            <c:strRef>
              <c:f>'PODATKI grafi'!$P$235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grafi'!$Q$235:$V$235</c:f>
              <c:numCache>
                <c:formatCode>0.000</c:formatCode>
                <c:ptCount val="6"/>
                <c:pt idx="0">
                  <c:v>317.05</c:v>
                </c:pt>
                <c:pt idx="1">
                  <c:v>317.05</c:v>
                </c:pt>
                <c:pt idx="2">
                  <c:v>317.05</c:v>
                </c:pt>
                <c:pt idx="3">
                  <c:v>317.05</c:v>
                </c:pt>
                <c:pt idx="4">
                  <c:v>317.05</c:v>
                </c:pt>
                <c:pt idx="5">
                  <c:v>317.05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D5-4C2E-B64A-94761B399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156480"/>
        <c:axId val="354934784"/>
      </c:lineChart>
      <c:lineChart>
        <c:grouping val="standard"/>
        <c:varyColors val="0"/>
        <c:ser>
          <c:idx val="0"/>
          <c:order val="2"/>
          <c:tx>
            <c:strRef>
              <c:f>'PODATKI grafi'!$P$230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grafi'!$Q$230:$V$230</c:f>
              <c:numCache>
                <c:formatCode>0.00</c:formatCode>
                <c:ptCount val="6"/>
                <c:pt idx="0">
                  <c:v>246.17793388455198</c:v>
                </c:pt>
                <c:pt idx="1">
                  <c:v>287.30996743492375</c:v>
                </c:pt>
                <c:pt idx="2">
                  <c:v>353.75617990142717</c:v>
                </c:pt>
                <c:pt idx="3">
                  <c:v>403.78414860181044</c:v>
                </c:pt>
                <c:pt idx="4">
                  <c:v>368.47855692254285</c:v>
                </c:pt>
                <c:pt idx="5">
                  <c:v>291.8529638156719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D5-4C2E-B64A-94761B399909}"/>
            </c:ext>
          </c:extLst>
        </c:ser>
        <c:ser>
          <c:idx val="1"/>
          <c:order val="3"/>
          <c:tx>
            <c:strRef>
              <c:f>'PODATKI grafi'!$P$231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grafi'!$Q$231:$V$231</c:f>
              <c:numCache>
                <c:formatCode>0.00</c:formatCode>
                <c:ptCount val="6"/>
                <c:pt idx="0">
                  <c:v>230.59472237565475</c:v>
                </c:pt>
                <c:pt idx="1">
                  <c:v>270.34844478716957</c:v>
                </c:pt>
                <c:pt idx="2">
                  <c:v>334.57248997625641</c:v>
                </c:pt>
                <c:pt idx="3">
                  <c:v>382.87800411673044</c:v>
                </c:pt>
                <c:pt idx="4">
                  <c:v>348.03969976656026</c:v>
                </c:pt>
                <c:pt idx="5">
                  <c:v>274.50012961964865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DD5-4C2E-B64A-94761B399909}"/>
            </c:ext>
          </c:extLst>
        </c:ser>
        <c:ser>
          <c:idx val="2"/>
          <c:order val="4"/>
          <c:tx>
            <c:strRef>
              <c:f>'PODATKI grafi'!$P$232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grafi'!$Q$232:$V$232</c:f>
              <c:numCache>
                <c:formatCode>0.00</c:formatCode>
                <c:ptCount val="6"/>
                <c:pt idx="0">
                  <c:v>194.58363296007366</c:v>
                </c:pt>
                <c:pt idx="1">
                  <c:v>231.15222978720359</c:v>
                </c:pt>
                <c:pt idx="2">
                  <c:v>290.2410905839244</c:v>
                </c:pt>
                <c:pt idx="3">
                  <c:v>334.56620151060969</c:v>
                </c:pt>
                <c:pt idx="4">
                  <c:v>300.80774682950727</c:v>
                </c:pt>
                <c:pt idx="5">
                  <c:v>234.39963663141171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D5-4C2E-B64A-94761B399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156992"/>
        <c:axId val="354935360"/>
      </c:lineChart>
      <c:catAx>
        <c:axId val="35515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934784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4934784"/>
        <c:scaling>
          <c:orientation val="minMax"/>
          <c:max val="300"/>
          <c:min val="5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156480"/>
        <c:crosses val="autoZero"/>
        <c:crossBetween val="midCat"/>
        <c:majorUnit val="25"/>
      </c:valAx>
      <c:catAx>
        <c:axId val="355156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4935360"/>
        <c:crossesAt val="25"/>
        <c:auto val="1"/>
        <c:lblAlgn val="ctr"/>
        <c:lblOffset val="100"/>
        <c:noMultiLvlLbl val="0"/>
      </c:catAx>
      <c:valAx>
        <c:axId val="354935360"/>
        <c:scaling>
          <c:orientation val="minMax"/>
          <c:max val="300"/>
          <c:min val="5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156992"/>
        <c:crosses val="max"/>
        <c:crossBetween val="midCat"/>
        <c:majorUnit val="50"/>
        <c:minorUnit val="25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0653595140822836"/>
          <c:y val="0.55328012597453435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grafi'!$J$223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grafi'!$Q$223:$V$223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7-447C-8C4E-E1034A585A8C}"/>
            </c:ext>
          </c:extLst>
        </c:ser>
        <c:ser>
          <c:idx val="1"/>
          <c:order val="2"/>
          <c:tx>
            <c:strRef>
              <c:f>'PODATKI grafi'!$J$224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grafi'!$Q$224:$V$224</c:f>
              <c:numCache>
                <c:formatCode>0</c:formatCode>
                <c:ptCount val="6"/>
                <c:pt idx="0">
                  <c:v>15852.5</c:v>
                </c:pt>
                <c:pt idx="1">
                  <c:v>12682</c:v>
                </c:pt>
                <c:pt idx="2">
                  <c:v>9511.5</c:v>
                </c:pt>
                <c:pt idx="3">
                  <c:v>7926.25</c:v>
                </c:pt>
                <c:pt idx="4">
                  <c:v>9511.5</c:v>
                </c:pt>
                <c:pt idx="5">
                  <c:v>12682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97-447C-8C4E-E1034A585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158528"/>
        <c:axId val="354937664"/>
      </c:barChart>
      <c:lineChart>
        <c:grouping val="standard"/>
        <c:varyColors val="0"/>
        <c:ser>
          <c:idx val="2"/>
          <c:order val="1"/>
          <c:tx>
            <c:strRef>
              <c:f>'PODATKI grafi'!$J$236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grafi'!$Q$229:$V$229</c:f>
              <c:strCache>
                <c:ptCount val="6"/>
                <c:pt idx="0">
                  <c:v>50000;1</c:v>
                </c:pt>
                <c:pt idx="1">
                  <c:v>40000;1</c:v>
                </c:pt>
                <c:pt idx="2">
                  <c:v>30000;1</c:v>
                </c:pt>
                <c:pt idx="3">
                  <c:v>25000;1</c:v>
                </c:pt>
                <c:pt idx="4">
                  <c:v>30000;0,2</c:v>
                </c:pt>
                <c:pt idx="5">
                  <c:v>40000;0,5</c:v>
                </c:pt>
              </c:strCache>
            </c:strRef>
          </c:cat>
          <c:val>
            <c:numRef>
              <c:f>'PODATKI grafi'!$Q$236:$V$236</c:f>
              <c:numCache>
                <c:formatCode>#,##0.0</c:formatCode>
                <c:ptCount val="6"/>
                <c:pt idx="0">
                  <c:v>9949.4165629837844</c:v>
                </c:pt>
                <c:pt idx="1">
                  <c:v>6810.1244897355919</c:v>
                </c:pt>
                <c:pt idx="2">
                  <c:v>3710.3428943658309</c:v>
                </c:pt>
                <c:pt idx="3">
                  <c:v>2223.4465084512349</c:v>
                </c:pt>
                <c:pt idx="4">
                  <c:v>3610.0308692046665</c:v>
                </c:pt>
                <c:pt idx="5">
                  <c:v>6769.3658287573471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97-447C-8C4E-E1034A585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158528"/>
        <c:axId val="354937664"/>
      </c:lineChart>
      <c:catAx>
        <c:axId val="3551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4937664"/>
        <c:crosses val="autoZero"/>
        <c:auto val="1"/>
        <c:lblAlgn val="ctr"/>
        <c:lblOffset val="100"/>
        <c:noMultiLvlLbl val="0"/>
      </c:catAx>
      <c:valAx>
        <c:axId val="354937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51585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grafi'!$Q$269:$U$269</c:f>
              <c:numCache>
                <c:formatCode>0.00</c:formatCode>
                <c:ptCount val="5"/>
                <c:pt idx="0">
                  <c:v>421.72414430567488</c:v>
                </c:pt>
                <c:pt idx="1">
                  <c:v>442.09326537859658</c:v>
                </c:pt>
                <c:pt idx="2">
                  <c:v>495.82991490688568</c:v>
                </c:pt>
                <c:pt idx="3">
                  <c:v>528.66515761687185</c:v>
                </c:pt>
                <c:pt idx="4">
                  <c:v>562.55654478066299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E-4C87-8EE0-712FCDB7F887}"/>
            </c:ext>
          </c:extLst>
        </c:ser>
        <c:ser>
          <c:idx val="4"/>
          <c:order val="1"/>
          <c:tx>
            <c:strRef>
              <c:f>'PODATKI grafi'!$P$270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grafi'!$Q$270:$U$270</c:f>
              <c:numCache>
                <c:formatCode>0.00</c:formatCode>
                <c:ptCount val="5"/>
                <c:pt idx="0">
                  <c:v>83.374540194899964</c:v>
                </c:pt>
                <c:pt idx="1">
                  <c:v>87.806974189543212</c:v>
                </c:pt>
                <c:pt idx="2">
                  <c:v>99.626798175258216</c:v>
                </c:pt>
                <c:pt idx="3">
                  <c:v>107.7529271654372</c:v>
                </c:pt>
                <c:pt idx="4">
                  <c:v>116.97726431471722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BE-4C87-8EE0-712FCDB7F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336704"/>
        <c:axId val="354939968"/>
      </c:areaChart>
      <c:lineChart>
        <c:grouping val="standard"/>
        <c:varyColors val="0"/>
        <c:ser>
          <c:idx val="5"/>
          <c:order val="5"/>
          <c:tx>
            <c:strRef>
              <c:f>'PODATKI grafi'!$P$272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grafi'!$Q$272:$U$272</c:f>
              <c:numCache>
                <c:formatCode>0.000</c:formatCode>
                <c:ptCount val="5"/>
                <c:pt idx="0">
                  <c:v>644</c:v>
                </c:pt>
                <c:pt idx="1">
                  <c:v>644</c:v>
                </c:pt>
                <c:pt idx="2">
                  <c:v>644</c:v>
                </c:pt>
                <c:pt idx="3">
                  <c:v>644</c:v>
                </c:pt>
                <c:pt idx="4">
                  <c:v>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BE-4C87-8EE0-712FCDB7F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36704"/>
        <c:axId val="354939968"/>
      </c:lineChart>
      <c:lineChart>
        <c:grouping val="standard"/>
        <c:varyColors val="0"/>
        <c:ser>
          <c:idx val="0"/>
          <c:order val="2"/>
          <c:tx>
            <c:strRef>
              <c:f>'PODATKI grafi'!$P$267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grafi'!$Q$267:$U$267</c:f>
              <c:numCache>
                <c:formatCode>0.00</c:formatCode>
                <c:ptCount val="5"/>
                <c:pt idx="0">
                  <c:v>505.09868450057485</c:v>
                </c:pt>
                <c:pt idx="1">
                  <c:v>529.9002395681398</c:v>
                </c:pt>
                <c:pt idx="2">
                  <c:v>595.45671308214389</c:v>
                </c:pt>
                <c:pt idx="3">
                  <c:v>636.41808478230905</c:v>
                </c:pt>
                <c:pt idx="4">
                  <c:v>679.53380909538021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BE-4C87-8EE0-712FCDB7F887}"/>
            </c:ext>
          </c:extLst>
        </c:ser>
        <c:ser>
          <c:idx val="1"/>
          <c:order val="3"/>
          <c:tx>
            <c:strRef>
              <c:f>'PODATKI grafi'!$P$268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grafi'!$Q$268:$U$268</c:f>
              <c:numCache>
                <c:formatCode>0.00</c:formatCode>
                <c:ptCount val="5"/>
                <c:pt idx="0">
                  <c:v>479.9167734942418</c:v>
                </c:pt>
                <c:pt idx="1">
                  <c:v>503.37958464629452</c:v>
                </c:pt>
                <c:pt idx="2">
                  <c:v>565.3660743855994</c:v>
                </c:pt>
                <c:pt idx="3">
                  <c:v>603.87308224065907</c:v>
                </c:pt>
                <c:pt idx="4">
                  <c:v>644.20274696476474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BE-4C87-8EE0-712FCDB7F887}"/>
            </c:ext>
          </c:extLst>
        </c:ser>
        <c:ser>
          <c:idx val="2"/>
          <c:order val="4"/>
          <c:tx>
            <c:strRef>
              <c:f>'PODATKI grafi'!$P$269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grafi'!$Q$269:$U$269</c:f>
              <c:numCache>
                <c:formatCode>0.00</c:formatCode>
                <c:ptCount val="5"/>
                <c:pt idx="0">
                  <c:v>421.72414430567488</c:v>
                </c:pt>
                <c:pt idx="1">
                  <c:v>442.09326537859658</c:v>
                </c:pt>
                <c:pt idx="2">
                  <c:v>495.82991490688568</c:v>
                </c:pt>
                <c:pt idx="3">
                  <c:v>528.66515761687185</c:v>
                </c:pt>
                <c:pt idx="4">
                  <c:v>562.55654478066299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BE-4C87-8EE0-712FCDB7F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37216"/>
        <c:axId val="354940544"/>
      </c:lineChart>
      <c:catAx>
        <c:axId val="355336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4939968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4939968"/>
        <c:scaling>
          <c:orientation val="minMax"/>
          <c:min val="1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336704"/>
        <c:crosses val="autoZero"/>
        <c:crossBetween val="midCat"/>
        <c:majorUnit val="50"/>
      </c:valAx>
      <c:catAx>
        <c:axId val="355337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4940544"/>
        <c:crossesAt val="25"/>
        <c:auto val="1"/>
        <c:lblAlgn val="ctr"/>
        <c:lblOffset val="100"/>
        <c:noMultiLvlLbl val="0"/>
      </c:catAx>
      <c:valAx>
        <c:axId val="354940544"/>
        <c:scaling>
          <c:orientation val="minMax"/>
          <c:min val="1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337216"/>
        <c:crosses val="max"/>
        <c:crossBetween val="midCat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0653595140822836"/>
          <c:y val="0.55328012597453435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grafi'!$J$260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grafi'!$Q$260:$U$260</c:f>
              <c:numCache>
                <c:formatCode>0</c:formatCode>
                <c:ptCount val="5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21-421F-B63F-88F3F9E36678}"/>
            </c:ext>
          </c:extLst>
        </c:ser>
        <c:ser>
          <c:idx val="1"/>
          <c:order val="2"/>
          <c:tx>
            <c:strRef>
              <c:f>'PODATKI grafi'!$J$261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grafi'!$Q$261:$U$261</c:f>
              <c:numCache>
                <c:formatCode>0</c:formatCode>
                <c:ptCount val="5"/>
                <c:pt idx="0">
                  <c:v>38640</c:v>
                </c:pt>
                <c:pt idx="1">
                  <c:v>35420</c:v>
                </c:pt>
                <c:pt idx="2">
                  <c:v>28980</c:v>
                </c:pt>
                <c:pt idx="3">
                  <c:v>25760</c:v>
                </c:pt>
                <c:pt idx="4">
                  <c:v>22540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21-421F-B63F-88F3F9E36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338752"/>
        <c:axId val="355426304"/>
      </c:barChart>
      <c:lineChart>
        <c:grouping val="standard"/>
        <c:varyColors val="0"/>
        <c:ser>
          <c:idx val="2"/>
          <c:order val="1"/>
          <c:tx>
            <c:strRef>
              <c:f>'PODATKI grafi'!$J$273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grafi'!$Q$266:$U$266</c:f>
              <c:strCache>
                <c:ptCount val="5"/>
                <c:pt idx="0">
                  <c:v>60000;0,5</c:v>
                </c:pt>
                <c:pt idx="1">
                  <c:v>55000;0,5</c:v>
                </c:pt>
                <c:pt idx="2">
                  <c:v>45000;0,5</c:v>
                </c:pt>
                <c:pt idx="3">
                  <c:v>40000;0,5</c:v>
                </c:pt>
                <c:pt idx="4">
                  <c:v>35000;0,5</c:v>
                </c:pt>
              </c:strCache>
            </c:strRef>
          </c:cat>
          <c:val>
            <c:numRef>
              <c:f>'PODATKI grafi'!$Q$273:$U$273</c:f>
              <c:numCache>
                <c:formatCode>#,##0.0</c:formatCode>
                <c:ptCount val="5"/>
                <c:pt idx="0">
                  <c:v>25485.503457894716</c:v>
                </c:pt>
                <c:pt idx="1">
                  <c:v>22931.649550235772</c:v>
                </c:pt>
                <c:pt idx="2">
                  <c:v>17849.678371167851</c:v>
                </c:pt>
                <c:pt idx="3">
                  <c:v>15470.405338508901</c:v>
                </c:pt>
                <c:pt idx="4">
                  <c:v>13290.789915660829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21-421F-B63F-88F3F9E36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38752"/>
        <c:axId val="355426304"/>
      </c:lineChart>
      <c:catAx>
        <c:axId val="355338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5426304"/>
        <c:crosses val="autoZero"/>
        <c:auto val="1"/>
        <c:lblAlgn val="ctr"/>
        <c:lblOffset val="100"/>
        <c:noMultiLvlLbl val="0"/>
      </c:catAx>
      <c:valAx>
        <c:axId val="355426304"/>
        <c:scaling>
          <c:orientation val="minMax"/>
          <c:max val="25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5338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grafi'!$Q$306:$U$306</c:f>
              <c:numCache>
                <c:formatCode>0.00</c:formatCode>
                <c:ptCount val="5"/>
                <c:pt idx="0">
                  <c:v>504.16926360631396</c:v>
                </c:pt>
                <c:pt idx="1">
                  <c:v>545.59562681496766</c:v>
                </c:pt>
                <c:pt idx="2">
                  <c:v>591.63517756583462</c:v>
                </c:pt>
                <c:pt idx="3">
                  <c:v>652.93115185371005</c:v>
                </c:pt>
                <c:pt idx="4">
                  <c:v>737.25714734108362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1-4750-A3F1-2B675774C946}"/>
            </c:ext>
          </c:extLst>
        </c:ser>
        <c:ser>
          <c:idx val="4"/>
          <c:order val="1"/>
          <c:tx>
            <c:strRef>
              <c:f>'PODATKI grafi'!$P$307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grafi'!$Q$307:$U$307</c:f>
              <c:numCache>
                <c:formatCode>0.00</c:formatCode>
                <c:ptCount val="5"/>
                <c:pt idx="0">
                  <c:v>96.224282014441087</c:v>
                </c:pt>
                <c:pt idx="1">
                  <c:v>105.02521283738611</c:v>
                </c:pt>
                <c:pt idx="2">
                  <c:v>116.0460538624252</c:v>
                </c:pt>
                <c:pt idx="3">
                  <c:v>132.33171138414525</c:v>
                </c:pt>
                <c:pt idx="4">
                  <c:v>156.76019766672528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C1-4750-A3F1-2B675774C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639808"/>
        <c:axId val="355428608"/>
      </c:areaChart>
      <c:lineChart>
        <c:grouping val="standard"/>
        <c:varyColors val="0"/>
        <c:ser>
          <c:idx val="5"/>
          <c:order val="5"/>
          <c:tx>
            <c:strRef>
              <c:f>'PODATKI grafi'!$P$309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grafi'!$Q$309:$U$309</c:f>
              <c:numCache>
                <c:formatCode>0.000</c:formatCode>
                <c:ptCount val="5"/>
                <c:pt idx="0">
                  <c:v>1572</c:v>
                </c:pt>
                <c:pt idx="1">
                  <c:v>1572</c:v>
                </c:pt>
                <c:pt idx="2">
                  <c:v>1572</c:v>
                </c:pt>
                <c:pt idx="3">
                  <c:v>1572</c:v>
                </c:pt>
                <c:pt idx="4">
                  <c:v>1572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C1-4750-A3F1-2B675774C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39808"/>
        <c:axId val="355428608"/>
      </c:lineChart>
      <c:lineChart>
        <c:grouping val="standard"/>
        <c:varyColors val="0"/>
        <c:ser>
          <c:idx val="0"/>
          <c:order val="2"/>
          <c:tx>
            <c:strRef>
              <c:f>'PODATKI grafi'!$P$304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grafi'!$Q$304:$U$304</c:f>
              <c:numCache>
                <c:formatCode>0.00</c:formatCode>
                <c:ptCount val="5"/>
                <c:pt idx="0">
                  <c:v>600.39354562075505</c:v>
                </c:pt>
                <c:pt idx="1">
                  <c:v>650.62083965235377</c:v>
                </c:pt>
                <c:pt idx="2">
                  <c:v>707.68123142825982</c:v>
                </c:pt>
                <c:pt idx="3">
                  <c:v>785.2628632378553</c:v>
                </c:pt>
                <c:pt idx="4">
                  <c:v>894.0173450078089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C1-4750-A3F1-2B675774C946}"/>
            </c:ext>
          </c:extLst>
        </c:ser>
        <c:ser>
          <c:idx val="1"/>
          <c:order val="3"/>
          <c:tx>
            <c:strRef>
              <c:f>'PODATKI grafi'!$P$305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grafi'!$Q$305:$U$305</c:f>
              <c:numCache>
                <c:formatCode>0.00</c:formatCode>
                <c:ptCount val="5"/>
                <c:pt idx="0">
                  <c:v>571.3305810674085</c:v>
                </c:pt>
                <c:pt idx="1">
                  <c:v>618.8996984393433</c:v>
                </c:pt>
                <c:pt idx="2">
                  <c:v>672.63142612596357</c:v>
                </c:pt>
                <c:pt idx="3">
                  <c:v>745.29424246223948</c:v>
                </c:pt>
                <c:pt idx="4">
                  <c:v>846.67050102221378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C1-4750-A3F1-2B675774C946}"/>
            </c:ext>
          </c:extLst>
        </c:ser>
        <c:ser>
          <c:idx val="2"/>
          <c:order val="4"/>
          <c:tx>
            <c:strRef>
              <c:f>'PODATKI grafi'!$P$306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grafi'!$Q$306:$U$306</c:f>
              <c:numCache>
                <c:formatCode>0.00</c:formatCode>
                <c:ptCount val="5"/>
                <c:pt idx="0">
                  <c:v>504.16926360631396</c:v>
                </c:pt>
                <c:pt idx="1">
                  <c:v>545.59562681496766</c:v>
                </c:pt>
                <c:pt idx="2">
                  <c:v>591.63517756583462</c:v>
                </c:pt>
                <c:pt idx="3">
                  <c:v>652.93115185371005</c:v>
                </c:pt>
                <c:pt idx="4">
                  <c:v>737.25714734108362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6C1-4750-A3F1-2B675774C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40320"/>
        <c:axId val="355429184"/>
      </c:lineChart>
      <c:catAx>
        <c:axId val="35563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428608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5428608"/>
        <c:scaling>
          <c:orientation val="minMax"/>
          <c:max val="1000"/>
          <c:min val="2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639808"/>
        <c:crosses val="autoZero"/>
        <c:crossBetween val="midCat"/>
      </c:valAx>
      <c:catAx>
        <c:axId val="355640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429184"/>
        <c:crossesAt val="25"/>
        <c:auto val="1"/>
        <c:lblAlgn val="ctr"/>
        <c:lblOffset val="100"/>
        <c:noMultiLvlLbl val="0"/>
      </c:catAx>
      <c:valAx>
        <c:axId val="355429184"/>
        <c:scaling>
          <c:orientation val="minMax"/>
          <c:max val="1000"/>
          <c:min val="2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640320"/>
        <c:crosses val="max"/>
        <c:crossBetween val="midCat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4908532304198061"/>
          <c:y val="0.28989933388927452"/>
          <c:w val="0.53566585146336054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grafi'!$J$297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grafi'!$Q$297:$U$297</c:f>
              <c:numCache>
                <c:formatCode>0</c:formatCode>
                <c:ptCount val="5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B-4952-AC65-A29E74C34449}"/>
            </c:ext>
          </c:extLst>
        </c:ser>
        <c:ser>
          <c:idx val="1"/>
          <c:order val="2"/>
          <c:tx>
            <c:strRef>
              <c:f>'PODATKI grafi'!$J$298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grafi'!$Q$298:$U$298</c:f>
              <c:numCache>
                <c:formatCode>0</c:formatCode>
                <c:ptCount val="5"/>
                <c:pt idx="0">
                  <c:v>62880</c:v>
                </c:pt>
                <c:pt idx="1">
                  <c:v>55020</c:v>
                </c:pt>
                <c:pt idx="2">
                  <c:v>47160</c:v>
                </c:pt>
                <c:pt idx="3">
                  <c:v>39300</c:v>
                </c:pt>
                <c:pt idx="4">
                  <c:v>31440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CB-4952-AC65-A29E74C34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641856"/>
        <c:axId val="355431488"/>
      </c:barChart>
      <c:lineChart>
        <c:grouping val="standard"/>
        <c:varyColors val="0"/>
        <c:ser>
          <c:idx val="2"/>
          <c:order val="1"/>
          <c:tx>
            <c:strRef>
              <c:f>'PODATKI grafi'!$J$310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grafi'!$Q$310:$U$310</c:f>
              <c:numCache>
                <c:formatCode>#,##0.0</c:formatCode>
                <c:ptCount val="5"/>
                <c:pt idx="0">
                  <c:v>52383.007710698184</c:v>
                </c:pt>
                <c:pt idx="1">
                  <c:v>45239.553803039227</c:v>
                </c:pt>
                <c:pt idx="2">
                  <c:v>38324.129692435716</c:v>
                </c:pt>
                <c:pt idx="3">
                  <c:v>31530.666822976757</c:v>
                </c:pt>
                <c:pt idx="4">
                  <c:v>24887.7027809178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CB-4952-AC65-A29E74C34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41856"/>
        <c:axId val="355431488"/>
      </c:lineChart>
      <c:catAx>
        <c:axId val="355641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5431488"/>
        <c:crosses val="autoZero"/>
        <c:auto val="1"/>
        <c:lblAlgn val="ctr"/>
        <c:lblOffset val="100"/>
        <c:noMultiLvlLbl val="0"/>
      </c:catAx>
      <c:valAx>
        <c:axId val="355431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56418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grafi'!$Q$340:$U$340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grafi'!$Q$343:$T$343</c:f>
              <c:numCache>
                <c:formatCode>0.00</c:formatCode>
                <c:ptCount val="4"/>
                <c:pt idx="0">
                  <c:v>805.5045447123091</c:v>
                </c:pt>
                <c:pt idx="1">
                  <c:v>886.20520505158663</c:v>
                </c:pt>
                <c:pt idx="2">
                  <c:v>1002.3011478694076</c:v>
                </c:pt>
                <c:pt idx="3">
                  <c:v>1199.0599503467672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D-4497-9A3D-85FE847A10DC}"/>
            </c:ext>
          </c:extLst>
        </c:ser>
        <c:ser>
          <c:idx val="4"/>
          <c:order val="1"/>
          <c:tx>
            <c:strRef>
              <c:f>'PODATKI grafi'!$P$344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grafi'!$Q$340:$U$340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grafi'!$Q$344:$T$344</c:f>
              <c:numCache>
                <c:formatCode>0.00</c:formatCode>
                <c:ptCount val="4"/>
                <c:pt idx="0">
                  <c:v>140.57257665387715</c:v>
                </c:pt>
                <c:pt idx="1">
                  <c:v>156.09313232920124</c:v>
                </c:pt>
                <c:pt idx="2">
                  <c:v>177.19081225153798</c:v>
                </c:pt>
                <c:pt idx="3">
                  <c:v>215.20854574431655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BD-4497-9A3D-85FE847A1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829248"/>
        <c:axId val="355713600"/>
      </c:areaChart>
      <c:lineChart>
        <c:grouping val="standard"/>
        <c:varyColors val="0"/>
        <c:ser>
          <c:idx val="5"/>
          <c:order val="5"/>
          <c:tx>
            <c:strRef>
              <c:f>'PODATKI grafi'!$P$346</c:f>
              <c:strCache>
                <c:ptCount val="1"/>
                <c:pt idx="0">
                  <c:v>Odkupna cena; vir podatkov SURS; preračuni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grafi'!$Q$303:$U$303</c:f>
              <c:strCache>
                <c:ptCount val="5"/>
                <c:pt idx="0">
                  <c:v>40000;0,5</c:v>
                </c:pt>
                <c:pt idx="1">
                  <c:v>35000;0,5</c:v>
                </c:pt>
                <c:pt idx="2">
                  <c:v>30000;0,5</c:v>
                </c:pt>
                <c:pt idx="3">
                  <c:v>25000;0,5</c:v>
                </c:pt>
                <c:pt idx="4">
                  <c:v>20000;0,5</c:v>
                </c:pt>
              </c:strCache>
            </c:strRef>
          </c:cat>
          <c:val>
            <c:numRef>
              <c:f>'PODATKI grafi'!$Q$346:$T$346</c:f>
              <c:numCache>
                <c:formatCode>0.000</c:formatCode>
                <c:ptCount val="4"/>
                <c:pt idx="0">
                  <c:v>1792.0000000000002</c:v>
                </c:pt>
                <c:pt idx="1">
                  <c:v>1792.0000000000002</c:v>
                </c:pt>
                <c:pt idx="2">
                  <c:v>1792.0000000000002</c:v>
                </c:pt>
                <c:pt idx="3">
                  <c:v>1792.0000000000002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BD-4497-9A3D-85FE847A1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829248"/>
        <c:axId val="355713600"/>
      </c:lineChart>
      <c:lineChart>
        <c:grouping val="standard"/>
        <c:varyColors val="0"/>
        <c:ser>
          <c:idx val="0"/>
          <c:order val="2"/>
          <c:tx>
            <c:strRef>
              <c:f>'PODATKI grafi'!$P$341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grafi'!$Q$340:$T$340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grafi'!$Q$341:$T$341</c:f>
              <c:numCache>
                <c:formatCode>0.00</c:formatCode>
                <c:ptCount val="4"/>
                <c:pt idx="0">
                  <c:v>946.07712136618625</c:v>
                </c:pt>
                <c:pt idx="1">
                  <c:v>1042.2983373807879</c:v>
                </c:pt>
                <c:pt idx="2">
                  <c:v>1179.4919601209456</c:v>
                </c:pt>
                <c:pt idx="3">
                  <c:v>1414.2684960910838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BD-4497-9A3D-85FE847A10DC}"/>
            </c:ext>
          </c:extLst>
        </c:ser>
        <c:ser>
          <c:idx val="1"/>
          <c:order val="3"/>
          <c:tx>
            <c:strRef>
              <c:f>'PODATKI grafi'!$P$342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grafi'!$Q$340:$T$340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grafi'!$Q$342:$T$342</c:f>
              <c:numCache>
                <c:formatCode>0.00</c:formatCode>
                <c:ptCount val="4"/>
                <c:pt idx="0">
                  <c:v>903.6194825359886</c:v>
                </c:pt>
                <c:pt idx="1">
                  <c:v>995.15296952838264</c:v>
                </c:pt>
                <c:pt idx="2">
                  <c:v>1125.9743844338411</c:v>
                </c:pt>
                <c:pt idx="3">
                  <c:v>1349.2682881850828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BD-4497-9A3D-85FE847A10DC}"/>
            </c:ext>
          </c:extLst>
        </c:ser>
        <c:ser>
          <c:idx val="2"/>
          <c:order val="4"/>
          <c:tx>
            <c:strRef>
              <c:f>'PODATKI grafi'!$P$343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grafi'!$Q$340:$T$340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grafi'!$Q$343:$T$343</c:f>
              <c:numCache>
                <c:formatCode>0.00</c:formatCode>
                <c:ptCount val="4"/>
                <c:pt idx="0">
                  <c:v>805.5045447123091</c:v>
                </c:pt>
                <c:pt idx="1">
                  <c:v>886.20520505158663</c:v>
                </c:pt>
                <c:pt idx="2">
                  <c:v>1002.3011478694076</c:v>
                </c:pt>
                <c:pt idx="3">
                  <c:v>1199.0599503467672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BD-4497-9A3D-85FE847A1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829760"/>
        <c:axId val="355714176"/>
      </c:lineChart>
      <c:catAx>
        <c:axId val="35582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Pridelek (kg/ha); Velikost parcele (ha)</a:t>
                </a:r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713600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5713600"/>
        <c:scaling>
          <c:orientation val="minMax"/>
          <c:max val="1000"/>
          <c:min val="2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829248"/>
        <c:crosses val="autoZero"/>
        <c:crossBetween val="midCat"/>
      </c:valAx>
      <c:catAx>
        <c:axId val="35582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714176"/>
        <c:crossesAt val="25"/>
        <c:auto val="1"/>
        <c:lblAlgn val="ctr"/>
        <c:lblOffset val="100"/>
        <c:noMultiLvlLbl val="0"/>
      </c:catAx>
      <c:valAx>
        <c:axId val="355714176"/>
        <c:scaling>
          <c:orientation val="minMax"/>
          <c:max val="1000"/>
          <c:min val="2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829760"/>
        <c:crosses val="max"/>
        <c:crossBetween val="midCat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9456707049859345"/>
          <c:y val="0.56252155727577158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grafi'!$J$334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grafi'!$Q$340:$T$340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grafi'!$Q$334:$T$334</c:f>
              <c:numCache>
                <c:formatCode>0</c:formatCode>
                <c:ptCount val="4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AD-4DE0-9F78-11276D0B9C55}"/>
            </c:ext>
          </c:extLst>
        </c:ser>
        <c:ser>
          <c:idx val="1"/>
          <c:order val="2"/>
          <c:tx>
            <c:strRef>
              <c:f>'PODATKI grafi'!$J$335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grafi'!$Q$340:$T$340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grafi'!$Q$335:$T$335</c:f>
              <c:numCache>
                <c:formatCode>0</c:formatCode>
                <c:ptCount val="4"/>
                <c:pt idx="0">
                  <c:v>53760.000000000007</c:v>
                </c:pt>
                <c:pt idx="1">
                  <c:v>44800.000000000007</c:v>
                </c:pt>
                <c:pt idx="2">
                  <c:v>35840.000000000007</c:v>
                </c:pt>
                <c:pt idx="3">
                  <c:v>26880.000000000004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AD-4DE0-9F78-11276D0B9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830272"/>
        <c:axId val="355715328"/>
      </c:barChart>
      <c:lineChart>
        <c:grouping val="standard"/>
        <c:varyColors val="0"/>
        <c:ser>
          <c:idx val="2"/>
          <c:order val="1"/>
          <c:tx>
            <c:strRef>
              <c:f>'PODATKI grafi'!$J$310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grafi'!$Q$340:$T$340</c:f>
              <c:strCache>
                <c:ptCount val="4"/>
                <c:pt idx="0">
                  <c:v>30000;0,5</c:v>
                </c:pt>
                <c:pt idx="1">
                  <c:v>25000;0,5</c:v>
                </c:pt>
                <c:pt idx="2">
                  <c:v>20000;0,5</c:v>
                </c:pt>
                <c:pt idx="3">
                  <c:v>15000;0,5</c:v>
                </c:pt>
              </c:strCache>
            </c:strRef>
          </c:cat>
          <c:val>
            <c:numRef>
              <c:f>'PODATKI grafi'!$Q$347:$T$347</c:f>
              <c:numCache>
                <c:formatCode>#,##0.0</c:formatCode>
                <c:ptCount val="4"/>
                <c:pt idx="0">
                  <c:v>41275.808815155855</c:v>
                </c:pt>
                <c:pt idx="1">
                  <c:v>33853.904979596671</c:v>
                </c:pt>
                <c:pt idx="2">
                  <c:v>26440.44984082122</c:v>
                </c:pt>
                <c:pt idx="3">
                  <c:v>19066.542707159875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AD-4DE0-9F78-11276D0B9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830272"/>
        <c:axId val="355715328"/>
      </c:lineChart>
      <c:catAx>
        <c:axId val="355830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en-US" sz="1000" b="0"/>
                  <a:t>Pridelek (kg/ha); Velikost parcele (ha)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5715328"/>
        <c:crosses val="autoZero"/>
        <c:auto val="1"/>
        <c:lblAlgn val="ctr"/>
        <c:lblOffset val="100"/>
        <c:noMultiLvlLbl val="0"/>
      </c:catAx>
      <c:valAx>
        <c:axId val="355715328"/>
        <c:scaling>
          <c:orientation val="minMax"/>
          <c:max val="35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5830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grafi'!$Q$380:$V$380</c:f>
              <c:numCache>
                <c:formatCode>0.00</c:formatCode>
                <c:ptCount val="6"/>
                <c:pt idx="0">
                  <c:v>932.88469419763112</c:v>
                </c:pt>
                <c:pt idx="1">
                  <c:v>1081.4058246528311</c:v>
                </c:pt>
                <c:pt idx="2">
                  <c:v>1295.7110750314027</c:v>
                </c:pt>
                <c:pt idx="3">
                  <c:v>1446.4910285158278</c:v>
                </c:pt>
                <c:pt idx="4">
                  <c:v>1136.2308938845833</c:v>
                </c:pt>
                <c:pt idx="5">
                  <c:v>1252.328852679532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F9-453E-8B34-BBD39018261B}"/>
            </c:ext>
          </c:extLst>
        </c:ser>
        <c:ser>
          <c:idx val="4"/>
          <c:order val="1"/>
          <c:tx>
            <c:strRef>
              <c:f>'PODATKI grafi'!$P$381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grafi'!$Q$381:$V$381</c:f>
              <c:numCache>
                <c:formatCode>0.00</c:formatCode>
                <c:ptCount val="6"/>
                <c:pt idx="0">
                  <c:v>210.15344774300377</c:v>
                </c:pt>
                <c:pt idx="1">
                  <c:v>244.2922680969582</c:v>
                </c:pt>
                <c:pt idx="2">
                  <c:v>295.3598971736119</c:v>
                </c:pt>
                <c:pt idx="3">
                  <c:v>331.89448259501228</c:v>
                </c:pt>
                <c:pt idx="4">
                  <c:v>266.77144993115303</c:v>
                </c:pt>
                <c:pt idx="5">
                  <c:v>295.07687487840712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F9-453E-8B34-BBD390182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274688"/>
        <c:axId val="355717632"/>
      </c:areaChart>
      <c:lineChart>
        <c:grouping val="standard"/>
        <c:varyColors val="0"/>
        <c:ser>
          <c:idx val="5"/>
          <c:order val="5"/>
          <c:tx>
            <c:strRef>
              <c:f>'PODATKI grafi'!$P$383</c:f>
              <c:strCache>
                <c:ptCount val="1"/>
                <c:pt idx="0">
                  <c:v>Odkupna cena; ocena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grafi'!$Q$383:$V$383</c:f>
              <c:numCache>
                <c:formatCode>0.000</c:formatCode>
                <c:ptCount val="6"/>
                <c:pt idx="0">
                  <c:v>829.50000000000011</c:v>
                </c:pt>
                <c:pt idx="1">
                  <c:v>829.50000000000023</c:v>
                </c:pt>
                <c:pt idx="2">
                  <c:v>829.50000000000011</c:v>
                </c:pt>
                <c:pt idx="3">
                  <c:v>829.50000000000011</c:v>
                </c:pt>
                <c:pt idx="4">
                  <c:v>829.50000000000011</c:v>
                </c:pt>
                <c:pt idx="5">
                  <c:v>829.50000000000011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F9-453E-8B34-BBD390182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274688"/>
        <c:axId val="355717632"/>
      </c:lineChart>
      <c:lineChart>
        <c:grouping val="standard"/>
        <c:varyColors val="0"/>
        <c:ser>
          <c:idx val="0"/>
          <c:order val="2"/>
          <c:tx>
            <c:strRef>
              <c:f>'PODATKI grafi'!$P$378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grafi'!$Q$378:$V$378</c:f>
              <c:numCache>
                <c:formatCode>0.00</c:formatCode>
                <c:ptCount val="6"/>
                <c:pt idx="0">
                  <c:v>1143.0381419406349</c:v>
                </c:pt>
                <c:pt idx="1">
                  <c:v>1325.6980927497893</c:v>
                </c:pt>
                <c:pt idx="2">
                  <c:v>1591.0709722050146</c:v>
                </c:pt>
                <c:pt idx="3">
                  <c:v>1778.3855111108401</c:v>
                </c:pt>
                <c:pt idx="4">
                  <c:v>1403.0023438157364</c:v>
                </c:pt>
                <c:pt idx="5">
                  <c:v>1547.4057275579391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F9-453E-8B34-BBD39018261B}"/>
            </c:ext>
          </c:extLst>
        </c:ser>
        <c:ser>
          <c:idx val="1"/>
          <c:order val="3"/>
          <c:tx>
            <c:strRef>
              <c:f>'PODATKI grafi'!$P$379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grafi'!$Q$379:$V$379</c:f>
              <c:numCache>
                <c:formatCode>0.00</c:formatCode>
                <c:ptCount val="6"/>
                <c:pt idx="0">
                  <c:v>1079.5647433903409</c:v>
                </c:pt>
                <c:pt idx="1">
                  <c:v>1251.9136240094249</c:v>
                </c:pt>
                <c:pt idx="2">
                  <c:v>1501.8623645403866</c:v>
                </c:pt>
                <c:pt idx="3">
                  <c:v>1678.1422317516601</c:v>
                </c:pt>
                <c:pt idx="4">
                  <c:v>1322.428407269965</c:v>
                </c:pt>
                <c:pt idx="5">
                  <c:v>1458.2826021308624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6F9-453E-8B34-BBD39018261B}"/>
            </c:ext>
          </c:extLst>
        </c:ser>
        <c:ser>
          <c:idx val="2"/>
          <c:order val="4"/>
          <c:tx>
            <c:strRef>
              <c:f>'PODATKI grafi'!$P$380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grafi'!$Q$380:$V$380</c:f>
              <c:numCache>
                <c:formatCode>0.00</c:formatCode>
                <c:ptCount val="6"/>
                <c:pt idx="0">
                  <c:v>932.88469419763112</c:v>
                </c:pt>
                <c:pt idx="1">
                  <c:v>1081.4058246528311</c:v>
                </c:pt>
                <c:pt idx="2">
                  <c:v>1295.7110750314027</c:v>
                </c:pt>
                <c:pt idx="3">
                  <c:v>1446.4910285158278</c:v>
                </c:pt>
                <c:pt idx="4">
                  <c:v>1136.2308938845833</c:v>
                </c:pt>
                <c:pt idx="5">
                  <c:v>1252.328852679532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F9-453E-8B34-BBD390182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275200"/>
        <c:axId val="355718208"/>
      </c:lineChart>
      <c:catAx>
        <c:axId val="35627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 b="0" i="0" u="none" strike="noStrike" baseline="0">
                    <a:effectLst/>
                  </a:rPr>
                  <a:t>Število trsov (kos/ha)</a:t>
                </a:r>
                <a:r>
                  <a:rPr lang="sl-SI" sz="1000"/>
                  <a:t>; Pridelek na trs (kg/kos)</a:t>
                </a:r>
                <a:r>
                  <a:rPr lang="sl-SI" sz="1000" baseline="0"/>
                  <a:t> </a:t>
                </a:r>
                <a:endParaRPr lang="sl-SI" sz="1000"/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5717632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5717632"/>
        <c:scaling>
          <c:orientation val="minMax"/>
          <c:max val="14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6274688"/>
        <c:crosses val="autoZero"/>
        <c:crossBetween val="midCat"/>
        <c:majorUnit val="200"/>
      </c:valAx>
      <c:catAx>
        <c:axId val="356275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718208"/>
        <c:crossesAt val="25"/>
        <c:auto val="1"/>
        <c:lblAlgn val="ctr"/>
        <c:lblOffset val="100"/>
        <c:noMultiLvlLbl val="0"/>
      </c:catAx>
      <c:valAx>
        <c:axId val="355718208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6275200"/>
        <c:crosses val="max"/>
        <c:crossBetween val="midCat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0653595140822836"/>
          <c:y val="0.55328012597453435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grafi'!$J$371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grafi'!$Q$371:$V$371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6-4A45-87D7-06B35342B57C}"/>
            </c:ext>
          </c:extLst>
        </c:ser>
        <c:ser>
          <c:idx val="1"/>
          <c:order val="2"/>
          <c:tx>
            <c:strRef>
              <c:f>'PODATKI grafi'!$J$372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grafi'!$Q$372:$V$372</c:f>
              <c:numCache>
                <c:formatCode>0</c:formatCode>
                <c:ptCount val="6"/>
                <c:pt idx="0">
                  <c:v>9954.0000000000018</c:v>
                </c:pt>
                <c:pt idx="1">
                  <c:v>8295.0000000000018</c:v>
                </c:pt>
                <c:pt idx="2">
                  <c:v>6636.0000000000009</c:v>
                </c:pt>
                <c:pt idx="3">
                  <c:v>5806.5000000000009</c:v>
                </c:pt>
                <c:pt idx="4">
                  <c:v>8398.6875000000018</c:v>
                </c:pt>
                <c:pt idx="5">
                  <c:v>7465.5000000000009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66-4A45-87D7-06B35342B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6276736"/>
        <c:axId val="355720512"/>
      </c:barChart>
      <c:lineChart>
        <c:grouping val="standard"/>
        <c:varyColors val="0"/>
        <c:ser>
          <c:idx val="2"/>
          <c:order val="1"/>
          <c:tx>
            <c:strRef>
              <c:f>'PODATKI grafi'!$J$384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grafi'!$Q$377:$V$377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</c:v>
                </c:pt>
                <c:pt idx="3">
                  <c:v>4000;1,75</c:v>
                </c:pt>
                <c:pt idx="4">
                  <c:v>4500;2,25</c:v>
                </c:pt>
                <c:pt idx="5">
                  <c:v>4500;2</c:v>
                </c:pt>
              </c:strCache>
            </c:strRef>
          </c:cat>
          <c:val>
            <c:numRef>
              <c:f>'PODATKI grafi'!$Q$384:$V$384</c:f>
              <c:numCache>
                <c:formatCode>#,##0.0</c:formatCode>
                <c:ptCount val="6"/>
                <c:pt idx="0">
                  <c:v>4912.9932912181175</c:v>
                </c:pt>
                <c:pt idx="1">
                  <c:v>3513.1201494364623</c:v>
                </c:pt>
                <c:pt idx="2">
                  <c:v>2178.1456663521294</c:v>
                </c:pt>
                <c:pt idx="3">
                  <c:v>1527.2888329786983</c:v>
                </c:pt>
                <c:pt idx="4">
                  <c:v>3420.4312654996411</c:v>
                </c:pt>
                <c:pt idx="5">
                  <c:v>2650.259420504407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66-4A45-87D7-06B35342B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276736"/>
        <c:axId val="355720512"/>
      </c:lineChart>
      <c:catAx>
        <c:axId val="356276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sl-SI" sz="1000" b="0"/>
                  <a:t>Število</a:t>
                </a:r>
                <a:r>
                  <a:rPr lang="sl-SI" sz="1000" b="0" baseline="0"/>
                  <a:t> trsov (kos/ha</a:t>
                </a:r>
                <a:r>
                  <a:rPr lang="en-US" sz="1000" b="0"/>
                  <a:t>); </a:t>
                </a:r>
                <a:r>
                  <a:rPr lang="sl-SI" sz="1000" b="0"/>
                  <a:t>Pridelek</a:t>
                </a:r>
                <a:r>
                  <a:rPr lang="sl-SI" sz="1000" b="0" baseline="0"/>
                  <a:t> na trs (kg/kos)</a:t>
                </a:r>
                <a:endParaRPr lang="en-US" sz="1000" b="0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5720512"/>
        <c:crosses val="autoZero"/>
        <c:auto val="1"/>
        <c:lblAlgn val="ctr"/>
        <c:lblOffset val="100"/>
        <c:noMultiLvlLbl val="0"/>
      </c:catAx>
      <c:valAx>
        <c:axId val="355720512"/>
        <c:scaling>
          <c:orientation val="minMax"/>
          <c:max val="8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6276736"/>
        <c:crosses val="autoZero"/>
        <c:crossBetween val="between"/>
        <c:majorUnit val="100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1153795169544"/>
          <c:y val="8.1117085117452206E-2"/>
          <c:w val="0.71984644343699467"/>
          <c:h val="0.71421200122873052"/>
        </c:manualLayout>
      </c:layout>
      <c:areaChart>
        <c:grouping val="stacked"/>
        <c:varyColors val="0"/>
        <c:ser>
          <c:idx val="3"/>
          <c:order val="0"/>
          <c:spPr>
            <a:noFill/>
            <a:ln w="25400">
              <a:noFill/>
            </a:ln>
          </c:spP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grafi'!$Q$417:$V$417</c:f>
              <c:numCache>
                <c:formatCode>0.00</c:formatCode>
                <c:ptCount val="6"/>
                <c:pt idx="0">
                  <c:v>816.20442944709282</c:v>
                </c:pt>
                <c:pt idx="1">
                  <c:v>944.95955208297005</c:v>
                </c:pt>
                <c:pt idx="2">
                  <c:v>1028.7913478840967</c:v>
                </c:pt>
                <c:pt idx="3">
                  <c:v>1133.4443574708553</c:v>
                </c:pt>
                <c:pt idx="4">
                  <c:v>1065.6736130025781</c:v>
                </c:pt>
                <c:pt idx="5">
                  <c:v>991.90908276561652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4-49F1-A9EB-F9C5A06D479C}"/>
            </c:ext>
          </c:extLst>
        </c:ser>
        <c:ser>
          <c:idx val="4"/>
          <c:order val="1"/>
          <c:tx>
            <c:strRef>
              <c:f>'PODATKI grafi'!$P$418</c:f>
              <c:strCache>
                <c:ptCount val="1"/>
                <c:pt idx="0">
                  <c:v>sivo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grafi'!$Q$418:$V$418</c:f>
              <c:numCache>
                <c:formatCode>0.00</c:formatCode>
                <c:ptCount val="6"/>
                <c:pt idx="0">
                  <c:v>153.28577024308618</c:v>
                </c:pt>
                <c:pt idx="1">
                  <c:v>177.96917995602644</c:v>
                </c:pt>
                <c:pt idx="2">
                  <c:v>194.31741327758209</c:v>
                </c:pt>
                <c:pt idx="3">
                  <c:v>214.85369307115889</c:v>
                </c:pt>
                <c:pt idx="4">
                  <c:v>208.57590529447043</c:v>
                </c:pt>
                <c:pt idx="5">
                  <c:v>180.05892126069341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4-49F1-A9EB-F9C5A06D4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508160"/>
        <c:axId val="356107968"/>
      </c:areaChart>
      <c:lineChart>
        <c:grouping val="standard"/>
        <c:varyColors val="0"/>
        <c:ser>
          <c:idx val="5"/>
          <c:order val="5"/>
          <c:tx>
            <c:strRef>
              <c:f>'PODATKI grafi'!$P$420</c:f>
              <c:strCache>
                <c:ptCount val="1"/>
                <c:pt idx="0">
                  <c:v>Odkupna cena; ocena KIS</c:v>
                </c:pt>
              </c:strCache>
            </c:strRef>
          </c:tx>
          <c:spPr>
            <a:ln w="28575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grafi'!$Q$420:$V$420</c:f>
              <c:numCache>
                <c:formatCode>0.000</c:formatCode>
                <c:ptCount val="6"/>
                <c:pt idx="0">
                  <c:v>893</c:v>
                </c:pt>
                <c:pt idx="1">
                  <c:v>893</c:v>
                </c:pt>
                <c:pt idx="2">
                  <c:v>893</c:v>
                </c:pt>
                <c:pt idx="3">
                  <c:v>893</c:v>
                </c:pt>
                <c:pt idx="4">
                  <c:v>893</c:v>
                </c:pt>
                <c:pt idx="5">
                  <c:v>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B4-49F1-A9EB-F9C5A06D4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508160"/>
        <c:axId val="356107968"/>
      </c:lineChart>
      <c:lineChart>
        <c:grouping val="standard"/>
        <c:varyColors val="0"/>
        <c:ser>
          <c:idx val="0"/>
          <c:order val="2"/>
          <c:tx>
            <c:strRef>
              <c:f>'PODATKI grafi'!$P$415</c:f>
              <c:strCache>
                <c:ptCount val="1"/>
                <c:pt idx="0">
                  <c:v>Polne dajatve in pravice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grafi'!$Q$415:$V$415</c:f>
              <c:numCache>
                <c:formatCode>0.00</c:formatCode>
                <c:ptCount val="6"/>
                <c:pt idx="0">
                  <c:v>969.490199690179</c:v>
                </c:pt>
                <c:pt idx="1">
                  <c:v>1122.9287320389965</c:v>
                </c:pt>
                <c:pt idx="2">
                  <c:v>1223.1087611616788</c:v>
                </c:pt>
                <c:pt idx="3">
                  <c:v>1348.2980505420142</c:v>
                </c:pt>
                <c:pt idx="4">
                  <c:v>1274.2495182970486</c:v>
                </c:pt>
                <c:pt idx="5">
                  <c:v>1171.9680040263099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B4-49F1-A9EB-F9C5A06D479C}"/>
            </c:ext>
          </c:extLst>
        </c:ser>
        <c:ser>
          <c:idx val="1"/>
          <c:order val="3"/>
          <c:tx>
            <c:strRef>
              <c:f>'PODATKI grafi'!$P$416</c:f>
              <c:strCache>
                <c:ptCount val="1"/>
                <c:pt idx="0">
                  <c:v>Minimalne obveznosti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grafi'!$Q$416:$V$416</c:f>
              <c:numCache>
                <c:formatCode>0.00</c:formatCode>
                <c:ptCount val="6"/>
                <c:pt idx="0">
                  <c:v>923.19274946406392</c:v>
                </c:pt>
                <c:pt idx="1">
                  <c:v>1069.176063166145</c:v>
                </c:pt>
                <c:pt idx="2">
                  <c:v>1164.4183768225489</c:v>
                </c:pt>
                <c:pt idx="3">
                  <c:v>1283.4050200598997</c:v>
                </c:pt>
                <c:pt idx="4">
                  <c:v>1211.2525905429331</c:v>
                </c:pt>
                <c:pt idx="5">
                  <c:v>1117.5841631021656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B4-49F1-A9EB-F9C5A06D479C}"/>
            </c:ext>
          </c:extLst>
        </c:ser>
        <c:ser>
          <c:idx val="2"/>
          <c:order val="4"/>
          <c:tx>
            <c:strRef>
              <c:f>'PODATKI grafi'!$P$417</c:f>
              <c:strCache>
                <c:ptCount val="1"/>
                <c:pt idx="0">
                  <c:v>Brez dajatev in pravic iz dela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grafi'!$Q$417:$V$417</c:f>
              <c:numCache>
                <c:formatCode>0.00</c:formatCode>
                <c:ptCount val="6"/>
                <c:pt idx="0">
                  <c:v>816.20442944709282</c:v>
                </c:pt>
                <c:pt idx="1">
                  <c:v>944.95955208297005</c:v>
                </c:pt>
                <c:pt idx="2">
                  <c:v>1028.7913478840967</c:v>
                </c:pt>
                <c:pt idx="3">
                  <c:v>1133.4443574708553</c:v>
                </c:pt>
                <c:pt idx="4">
                  <c:v>1065.6736130025781</c:v>
                </c:pt>
                <c:pt idx="5">
                  <c:v>991.90908276561652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B4-49F1-A9EB-F9C5A06D4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508672"/>
        <c:axId val="356108544"/>
      </c:lineChart>
      <c:catAx>
        <c:axId val="35650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 b="0" i="0" u="none" strike="noStrike" baseline="0">
                    <a:effectLst/>
                  </a:rPr>
                  <a:t>Število trsov (kos/ha)</a:t>
                </a:r>
                <a:r>
                  <a:rPr lang="sl-SI" sz="1000"/>
                  <a:t>; Pridelek na trs (kg/kos)</a:t>
                </a:r>
                <a:r>
                  <a:rPr lang="sl-SI" sz="1000" baseline="0"/>
                  <a:t> </a:t>
                </a:r>
                <a:endParaRPr lang="sl-SI" sz="1000"/>
              </a:p>
            </c:rich>
          </c:tx>
          <c:layout>
            <c:manualLayout>
              <c:xMode val="edge"/>
              <c:yMode val="edge"/>
              <c:x val="0.26468824730242052"/>
              <c:y val="0.9046134799187837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6107968"/>
        <c:crossesAt val="25"/>
        <c:auto val="1"/>
        <c:lblAlgn val="ctr"/>
        <c:lblOffset val="100"/>
        <c:tickLblSkip val="1"/>
        <c:tickMarkSkip val="1"/>
        <c:noMultiLvlLbl val="0"/>
      </c:catAx>
      <c:valAx>
        <c:axId val="356107968"/>
        <c:scaling>
          <c:orientation val="minMax"/>
          <c:max val="140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sl-SI" sz="1000"/>
                  <a:t>Odkupna cena</a:t>
                </a:r>
                <a:r>
                  <a:rPr lang="sl-SI" sz="1000" baseline="0"/>
                  <a:t> (</a:t>
                </a:r>
                <a:r>
                  <a:rPr lang="sl-SI" sz="1000"/>
                  <a:t>EUR/t)</a:t>
                </a:r>
              </a:p>
            </c:rich>
          </c:tx>
          <c:layout>
            <c:manualLayout>
              <c:xMode val="edge"/>
              <c:yMode val="edge"/>
              <c:x val="2.1658898698268779E-2"/>
              <c:y val="0.193545731780305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3175" cmpd="sng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6508160"/>
        <c:crosses val="autoZero"/>
        <c:crossBetween val="midCat"/>
        <c:majorUnit val="200"/>
      </c:valAx>
      <c:catAx>
        <c:axId val="35650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6108544"/>
        <c:crossesAt val="25"/>
        <c:auto val="1"/>
        <c:lblAlgn val="ctr"/>
        <c:lblOffset val="100"/>
        <c:noMultiLvlLbl val="0"/>
      </c:catAx>
      <c:valAx>
        <c:axId val="356108544"/>
        <c:scaling>
          <c:orientation val="minMax"/>
          <c:max val="14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/>
                </a:pPr>
                <a:r>
                  <a:rPr lang="sl-SI" sz="1000"/>
                  <a:t>Cenovne meje d</a:t>
                </a:r>
                <a:r>
                  <a:rPr lang="en-US" sz="1000"/>
                  <a:t>ohodk</a:t>
                </a:r>
                <a:r>
                  <a:rPr lang="sl-SI" sz="1000"/>
                  <a:t>a</a:t>
                </a:r>
                <a:r>
                  <a:rPr lang="en-US" sz="1000"/>
                  <a:t> </a:t>
                </a:r>
                <a:r>
                  <a:rPr lang="sl-SI" sz="1000"/>
                  <a:t>(</a:t>
                </a:r>
                <a:r>
                  <a:rPr lang="en-US" sz="1000"/>
                  <a:t>EUR/t</a:t>
                </a:r>
                <a:r>
                  <a:rPr lang="sl-SI" sz="1000"/>
                  <a:t>)</a:t>
                </a:r>
                <a:endParaRPr lang="en-US" sz="1000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sl-SI"/>
          </a:p>
        </c:txPr>
        <c:crossAx val="356508672"/>
        <c:crosses val="max"/>
        <c:crossBetween val="midCat"/>
        <c:majorUnit val="200"/>
      </c:valAx>
      <c:spPr>
        <a:solidFill>
          <a:srgbClr val="FFFFFF"/>
        </a:solidFill>
        <a:ln w="12700">
          <a:solidFill>
            <a:schemeClr val="accent3">
              <a:lumMod val="75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0653595140822836"/>
          <c:y val="0.55328012597453435"/>
          <c:w val="0.63620437445319333"/>
          <c:h val="0.201963716799551"/>
        </c:manualLayout>
      </c:layout>
      <c:overlay val="0"/>
      <c:spPr>
        <a:solidFill>
          <a:schemeClr val="bg1">
            <a:lumMod val="95000"/>
          </a:schemeClr>
        </a:solidFill>
        <a:ln w="9525">
          <a:noFill/>
          <a:prstDash val="solid"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sl-SI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6939989239312"/>
          <c:y val="5.5791978581501589E-2"/>
          <c:w val="0.74275364227363916"/>
          <c:h val="0.6179109981243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'PODATKI grafi'!$J$408</c:f>
              <c:strCache>
                <c:ptCount val="1"/>
                <c:pt idx="0">
                  <c:v>Subvencije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grafi'!$Q$408:$V$408</c:f>
              <c:numCache>
                <c:formatCode>0</c:formatCode>
                <c:ptCount val="6"/>
                <c:pt idx="0">
                  <c:v>23.94</c:v>
                </c:pt>
                <c:pt idx="1">
                  <c:v>23.94</c:v>
                </c:pt>
                <c:pt idx="2">
                  <c:v>23.94</c:v>
                </c:pt>
                <c:pt idx="3">
                  <c:v>23.94</c:v>
                </c:pt>
                <c:pt idx="4">
                  <c:v>23.94</c:v>
                </c:pt>
                <c:pt idx="5">
                  <c:v>23.94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6-4971-BAF3-68277222433B}"/>
            </c:ext>
          </c:extLst>
        </c:ser>
        <c:ser>
          <c:idx val="1"/>
          <c:order val="2"/>
          <c:tx>
            <c:strRef>
              <c:f>'PODATKI grafi'!$J$409</c:f>
              <c:strCache>
                <c:ptCount val="1"/>
                <c:pt idx="0">
                  <c:v>Vrednost pridelave_tržna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grafi'!$Q$409:$V$409</c:f>
              <c:numCache>
                <c:formatCode>0</c:formatCode>
                <c:ptCount val="6"/>
                <c:pt idx="0">
                  <c:v>10716</c:v>
                </c:pt>
                <c:pt idx="1">
                  <c:v>8930</c:v>
                </c:pt>
                <c:pt idx="2">
                  <c:v>8037</c:v>
                </c:pt>
                <c:pt idx="3">
                  <c:v>7144</c:v>
                </c:pt>
                <c:pt idx="4">
                  <c:v>8037</c:v>
                </c:pt>
                <c:pt idx="5">
                  <c:v>8037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36-4971-BAF3-682772224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6510208"/>
        <c:axId val="356110848"/>
      </c:barChart>
      <c:lineChart>
        <c:grouping val="standard"/>
        <c:varyColors val="0"/>
        <c:ser>
          <c:idx val="2"/>
          <c:order val="1"/>
          <c:tx>
            <c:strRef>
              <c:f>'PODATKI grafi'!$J$421</c:f>
              <c:strCache>
                <c:ptCount val="1"/>
                <c:pt idx="0">
                  <c:v>Bruto dodana vrednost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w="12700">
                <a:solidFill>
                  <a:schemeClr val="bg1"/>
                </a:solidFill>
              </a:ln>
            </c:spPr>
          </c:marker>
          <c:cat>
            <c:strRef>
              <c:f>'PODATKI grafi'!$Q$414:$V$414</c:f>
              <c:strCache>
                <c:ptCount val="6"/>
                <c:pt idx="0">
                  <c:v>4000;3</c:v>
                </c:pt>
                <c:pt idx="1">
                  <c:v>4000;2,5</c:v>
                </c:pt>
                <c:pt idx="2">
                  <c:v>4000;2,25</c:v>
                </c:pt>
                <c:pt idx="3">
                  <c:v>4000;2</c:v>
                </c:pt>
                <c:pt idx="4">
                  <c:v>4500;2</c:v>
                </c:pt>
                <c:pt idx="5">
                  <c:v>3500;2,57</c:v>
                </c:pt>
              </c:strCache>
            </c:strRef>
          </c:cat>
          <c:val>
            <c:numRef>
              <c:f>'PODATKI grafi'!$Q$421:$V$421</c:f>
              <c:numCache>
                <c:formatCode>#,##0.0</c:formatCode>
                <c:ptCount val="6"/>
                <c:pt idx="0">
                  <c:v>6261.4380923048802</c:v>
                </c:pt>
                <c:pt idx="1">
                  <c:v>4718.822943926787</c:v>
                </c:pt>
                <c:pt idx="2">
                  <c:v>3963.4952109176684</c:v>
                </c:pt>
                <c:pt idx="3">
                  <c:v>3210.8534942460105</c:v>
                </c:pt>
                <c:pt idx="4">
                  <c:v>3886.2036208373374</c:v>
                </c:pt>
                <c:pt idx="5">
                  <c:v>4040.7868009979929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36-4971-BAF3-682772224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510208"/>
        <c:axId val="356110848"/>
      </c:lineChart>
      <c:catAx>
        <c:axId val="356510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sl-SI" sz="1000" b="0"/>
                  <a:t>Število trsov (kos/ha)</a:t>
                </a:r>
                <a:r>
                  <a:rPr lang="en-US" sz="1000" b="0"/>
                  <a:t>; </a:t>
                </a:r>
                <a:r>
                  <a:rPr lang="sl-SI" sz="1000" b="0"/>
                  <a:t>Pridelek </a:t>
                </a:r>
                <a:r>
                  <a:rPr lang="en-US" sz="1000" b="0"/>
                  <a:t>(</a:t>
                </a:r>
                <a:r>
                  <a:rPr lang="sl-SI" sz="1000" b="0"/>
                  <a:t>kg/kos</a:t>
                </a:r>
                <a:r>
                  <a:rPr lang="en-US" sz="1000" b="0"/>
                  <a:t>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356110848"/>
        <c:crosses val="autoZero"/>
        <c:auto val="1"/>
        <c:lblAlgn val="ctr"/>
        <c:lblOffset val="100"/>
        <c:noMultiLvlLbl val="0"/>
      </c:catAx>
      <c:valAx>
        <c:axId val="356110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EUR/ ha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56510208"/>
        <c:crosses val="autoZero"/>
        <c:crossBetween val="between"/>
        <c:majorUnit val="1000"/>
      </c:valAx>
    </c:plotArea>
    <c:legend>
      <c:legendPos val="b"/>
      <c:layout>
        <c:manualLayout>
          <c:xMode val="edge"/>
          <c:yMode val="edge"/>
          <c:x val="7.4824949017502043E-2"/>
          <c:y val="0.89010992907262576"/>
          <c:w val="0.78470527170312654"/>
          <c:h val="0.10855337635676526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/>
          </a:pPr>
          <a:endParaRPr lang="sl-SI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>
      <a:solidFill>
        <a:schemeClr val="accent3">
          <a:lumMod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13" Type="http://schemas.openxmlformats.org/officeDocument/2006/relationships/chart" Target="../charts/chart19.xml"/><Relationship Id="rId18" Type="http://schemas.openxmlformats.org/officeDocument/2006/relationships/chart" Target="../charts/chart2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12" Type="http://schemas.openxmlformats.org/officeDocument/2006/relationships/chart" Target="../charts/chart18.xml"/><Relationship Id="rId17" Type="http://schemas.openxmlformats.org/officeDocument/2006/relationships/chart" Target="../charts/chart23.xml"/><Relationship Id="rId2" Type="http://schemas.openxmlformats.org/officeDocument/2006/relationships/chart" Target="../charts/chart8.xml"/><Relationship Id="rId16" Type="http://schemas.openxmlformats.org/officeDocument/2006/relationships/chart" Target="../charts/chart22.xml"/><Relationship Id="rId20" Type="http://schemas.openxmlformats.org/officeDocument/2006/relationships/chart" Target="../charts/chart26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11" Type="http://schemas.openxmlformats.org/officeDocument/2006/relationships/chart" Target="../charts/chart17.xml"/><Relationship Id="rId5" Type="http://schemas.openxmlformats.org/officeDocument/2006/relationships/chart" Target="../charts/chart11.xml"/><Relationship Id="rId15" Type="http://schemas.openxmlformats.org/officeDocument/2006/relationships/chart" Target="../charts/chart21.xml"/><Relationship Id="rId10" Type="http://schemas.openxmlformats.org/officeDocument/2006/relationships/chart" Target="../charts/chart16.xml"/><Relationship Id="rId19" Type="http://schemas.openxmlformats.org/officeDocument/2006/relationships/chart" Target="../charts/chart25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Relationship Id="rId1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8660</xdr:colOff>
      <xdr:row>3</xdr:row>
      <xdr:rowOff>38099</xdr:rowOff>
    </xdr:from>
    <xdr:to>
      <xdr:col>32</xdr:col>
      <xdr:colOff>33869</xdr:colOff>
      <xdr:row>20</xdr:row>
      <xdr:rowOff>112568</xdr:rowOff>
    </xdr:to>
    <xdr:graphicFrame macro="">
      <xdr:nvGraphicFramePr>
        <xdr:cNvPr id="2" name="Chart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14653</xdr:colOff>
      <xdr:row>23</xdr:row>
      <xdr:rowOff>28575</xdr:rowOff>
    </xdr:from>
    <xdr:to>
      <xdr:col>32</xdr:col>
      <xdr:colOff>2212</xdr:colOff>
      <xdr:row>36</xdr:row>
      <xdr:rowOff>114300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1</xdr:colOff>
      <xdr:row>40</xdr:row>
      <xdr:rowOff>190499</xdr:rowOff>
    </xdr:from>
    <xdr:to>
      <xdr:col>31</xdr:col>
      <xdr:colOff>495301</xdr:colOff>
      <xdr:row>58</xdr:row>
      <xdr:rowOff>76199</xdr:rowOff>
    </xdr:to>
    <xdr:graphicFrame macro="">
      <xdr:nvGraphicFramePr>
        <xdr:cNvPr id="4" name="Chart 35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0</xdr:colOff>
      <xdr:row>61</xdr:row>
      <xdr:rowOff>9524</xdr:rowOff>
    </xdr:from>
    <xdr:to>
      <xdr:col>32</xdr:col>
      <xdr:colOff>12795</xdr:colOff>
      <xdr:row>74</xdr:row>
      <xdr:rowOff>142874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1</xdr:colOff>
      <xdr:row>79</xdr:row>
      <xdr:rowOff>0</xdr:rowOff>
    </xdr:from>
    <xdr:to>
      <xdr:col>31</xdr:col>
      <xdr:colOff>495301</xdr:colOff>
      <xdr:row>96</xdr:row>
      <xdr:rowOff>133351</xdr:rowOff>
    </xdr:to>
    <xdr:graphicFrame macro="">
      <xdr:nvGraphicFramePr>
        <xdr:cNvPr id="6" name="Chart 35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0</xdr:colOff>
      <xdr:row>99</xdr:row>
      <xdr:rowOff>0</xdr:rowOff>
    </xdr:from>
    <xdr:to>
      <xdr:col>31</xdr:col>
      <xdr:colOff>476250</xdr:colOff>
      <xdr:row>112</xdr:row>
      <xdr:rowOff>123825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8660</xdr:colOff>
      <xdr:row>50</xdr:row>
      <xdr:rowOff>171450</xdr:rowOff>
    </xdr:from>
    <xdr:to>
      <xdr:col>40</xdr:col>
      <xdr:colOff>2</xdr:colOff>
      <xdr:row>68</xdr:row>
      <xdr:rowOff>112569</xdr:rowOff>
    </xdr:to>
    <xdr:graphicFrame macro="">
      <xdr:nvGraphicFramePr>
        <xdr:cNvPr id="29" name="Chart 352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14653</xdr:colOff>
      <xdr:row>71</xdr:row>
      <xdr:rowOff>28575</xdr:rowOff>
    </xdr:from>
    <xdr:to>
      <xdr:col>40</xdr:col>
      <xdr:colOff>2212</xdr:colOff>
      <xdr:row>84</xdr:row>
      <xdr:rowOff>114300</xdr:rowOff>
    </xdr:to>
    <xdr:graphicFrame macro="">
      <xdr:nvGraphicFramePr>
        <xdr:cNvPr id="30" name="Grafikon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63501</xdr:colOff>
      <xdr:row>89</xdr:row>
      <xdr:rowOff>35983</xdr:rowOff>
    </xdr:from>
    <xdr:to>
      <xdr:col>38</xdr:col>
      <xdr:colOff>516468</xdr:colOff>
      <xdr:row>106</xdr:row>
      <xdr:rowOff>107949</xdr:rowOff>
    </xdr:to>
    <xdr:graphicFrame macro="">
      <xdr:nvGraphicFramePr>
        <xdr:cNvPr id="31" name="Chart 352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84667</xdr:colOff>
      <xdr:row>108</xdr:row>
      <xdr:rowOff>147107</xdr:rowOff>
    </xdr:from>
    <xdr:to>
      <xdr:col>39</xdr:col>
      <xdr:colOff>55128</xdr:colOff>
      <xdr:row>122</xdr:row>
      <xdr:rowOff>132290</xdr:rowOff>
    </xdr:to>
    <xdr:graphicFrame macro="">
      <xdr:nvGraphicFramePr>
        <xdr:cNvPr id="32" name="Grafikon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3176</xdr:colOff>
      <xdr:row>126</xdr:row>
      <xdr:rowOff>143932</xdr:rowOff>
    </xdr:from>
    <xdr:to>
      <xdr:col>38</xdr:col>
      <xdr:colOff>456143</xdr:colOff>
      <xdr:row>144</xdr:row>
      <xdr:rowOff>149224</xdr:rowOff>
    </xdr:to>
    <xdr:graphicFrame macro="">
      <xdr:nvGraphicFramePr>
        <xdr:cNvPr id="33" name="Chart 35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3176</xdr:colOff>
      <xdr:row>147</xdr:row>
      <xdr:rowOff>29633</xdr:rowOff>
    </xdr:from>
    <xdr:to>
      <xdr:col>38</xdr:col>
      <xdr:colOff>437093</xdr:colOff>
      <xdr:row>161</xdr:row>
      <xdr:rowOff>5292</xdr:rowOff>
    </xdr:to>
    <xdr:graphicFrame macro="">
      <xdr:nvGraphicFramePr>
        <xdr:cNvPr id="34" name="Grafikon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29</xdr:col>
      <xdr:colOff>0</xdr:colOff>
      <xdr:row>165</xdr:row>
      <xdr:rowOff>0</xdr:rowOff>
    </xdr:from>
    <xdr:to>
      <xdr:col>39</xdr:col>
      <xdr:colOff>76200</xdr:colOff>
      <xdr:row>184</xdr:row>
      <xdr:rowOff>33867</xdr:rowOff>
    </xdr:to>
    <xdr:graphicFrame macro="">
      <xdr:nvGraphicFramePr>
        <xdr:cNvPr id="10" name="Chart 35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29</xdr:col>
      <xdr:colOff>9525</xdr:colOff>
      <xdr:row>185</xdr:row>
      <xdr:rowOff>66675</xdr:rowOff>
    </xdr:from>
    <xdr:to>
      <xdr:col>38</xdr:col>
      <xdr:colOff>224367</xdr:colOff>
      <xdr:row>200</xdr:row>
      <xdr:rowOff>32809</xdr:rowOff>
    </xdr:to>
    <xdr:graphicFrame macro="">
      <xdr:nvGraphicFramePr>
        <xdr:cNvPr id="11" name="Grafikon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29</xdr:col>
      <xdr:colOff>57150</xdr:colOff>
      <xdr:row>203</xdr:row>
      <xdr:rowOff>0</xdr:rowOff>
    </xdr:from>
    <xdr:to>
      <xdr:col>39</xdr:col>
      <xdr:colOff>133350</xdr:colOff>
      <xdr:row>221</xdr:row>
      <xdr:rowOff>5292</xdr:rowOff>
    </xdr:to>
    <xdr:graphicFrame macro="">
      <xdr:nvGraphicFramePr>
        <xdr:cNvPr id="12" name="Chart 35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29</xdr:col>
      <xdr:colOff>0</xdr:colOff>
      <xdr:row>222</xdr:row>
      <xdr:rowOff>0</xdr:rowOff>
    </xdr:from>
    <xdr:to>
      <xdr:col>39</xdr:col>
      <xdr:colOff>104775</xdr:colOff>
      <xdr:row>235</xdr:row>
      <xdr:rowOff>99484</xdr:rowOff>
    </xdr:to>
    <xdr:graphicFrame macro="">
      <xdr:nvGraphicFramePr>
        <xdr:cNvPr id="13" name="Grafikon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0</xdr:colOff>
      <xdr:row>238</xdr:row>
      <xdr:rowOff>0</xdr:rowOff>
    </xdr:from>
    <xdr:to>
      <xdr:col>39</xdr:col>
      <xdr:colOff>295275</xdr:colOff>
      <xdr:row>256</xdr:row>
      <xdr:rowOff>5292</xdr:rowOff>
    </xdr:to>
    <xdr:graphicFrame macro="">
      <xdr:nvGraphicFramePr>
        <xdr:cNvPr id="14" name="Chart 35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29</xdr:col>
      <xdr:colOff>0</xdr:colOff>
      <xdr:row>257</xdr:row>
      <xdr:rowOff>0</xdr:rowOff>
    </xdr:from>
    <xdr:to>
      <xdr:col>39</xdr:col>
      <xdr:colOff>104775</xdr:colOff>
      <xdr:row>273</xdr:row>
      <xdr:rowOff>28575</xdr:rowOff>
    </xdr:to>
    <xdr:graphicFrame macro="">
      <xdr:nvGraphicFramePr>
        <xdr:cNvPr id="15" name="Grafiko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30</xdr:col>
      <xdr:colOff>0</xdr:colOff>
      <xdr:row>275</xdr:row>
      <xdr:rowOff>0</xdr:rowOff>
    </xdr:from>
    <xdr:to>
      <xdr:col>39</xdr:col>
      <xdr:colOff>295275</xdr:colOff>
      <xdr:row>293</xdr:row>
      <xdr:rowOff>5292</xdr:rowOff>
    </xdr:to>
    <xdr:graphicFrame macro="">
      <xdr:nvGraphicFramePr>
        <xdr:cNvPr id="16" name="Chart 352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0</xdr:colOff>
      <xdr:row>294</xdr:row>
      <xdr:rowOff>0</xdr:rowOff>
    </xdr:from>
    <xdr:to>
      <xdr:col>39</xdr:col>
      <xdr:colOff>323850</xdr:colOff>
      <xdr:row>309</xdr:row>
      <xdr:rowOff>28575</xdr:rowOff>
    </xdr:to>
    <xdr:graphicFrame macro="">
      <xdr:nvGraphicFramePr>
        <xdr:cNvPr id="17" name="Grafikon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30</xdr:col>
      <xdr:colOff>0</xdr:colOff>
      <xdr:row>310</xdr:row>
      <xdr:rowOff>0</xdr:rowOff>
    </xdr:from>
    <xdr:to>
      <xdr:col>39</xdr:col>
      <xdr:colOff>295275</xdr:colOff>
      <xdr:row>328</xdr:row>
      <xdr:rowOff>5292</xdr:rowOff>
    </xdr:to>
    <xdr:graphicFrame macro="">
      <xdr:nvGraphicFramePr>
        <xdr:cNvPr id="24" name="Chart 35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0</xdr:colOff>
      <xdr:row>329</xdr:row>
      <xdr:rowOff>0</xdr:rowOff>
    </xdr:from>
    <xdr:to>
      <xdr:col>39</xdr:col>
      <xdr:colOff>323850</xdr:colOff>
      <xdr:row>345</xdr:row>
      <xdr:rowOff>19050</xdr:rowOff>
    </xdr:to>
    <xdr:graphicFrame macro="">
      <xdr:nvGraphicFramePr>
        <xdr:cNvPr id="25" name="Grafikon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30</xdr:col>
      <xdr:colOff>0</xdr:colOff>
      <xdr:row>350</xdr:row>
      <xdr:rowOff>123825</xdr:rowOff>
    </xdr:from>
    <xdr:to>
      <xdr:col>39</xdr:col>
      <xdr:colOff>295275</xdr:colOff>
      <xdr:row>368</xdr:row>
      <xdr:rowOff>129117</xdr:rowOff>
    </xdr:to>
    <xdr:graphicFrame macro="">
      <xdr:nvGraphicFramePr>
        <xdr:cNvPr id="19" name="Chart 352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30</xdr:col>
      <xdr:colOff>0</xdr:colOff>
      <xdr:row>370</xdr:row>
      <xdr:rowOff>0</xdr:rowOff>
    </xdr:from>
    <xdr:to>
      <xdr:col>39</xdr:col>
      <xdr:colOff>323850</xdr:colOff>
      <xdr:row>381</xdr:row>
      <xdr:rowOff>89959</xdr:rowOff>
    </xdr:to>
    <xdr:graphicFrame macro="">
      <xdr:nvGraphicFramePr>
        <xdr:cNvPr id="20" name="Grafikon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30</xdr:col>
      <xdr:colOff>0</xdr:colOff>
      <xdr:row>388</xdr:row>
      <xdr:rowOff>0</xdr:rowOff>
    </xdr:from>
    <xdr:to>
      <xdr:col>39</xdr:col>
      <xdr:colOff>295275</xdr:colOff>
      <xdr:row>406</xdr:row>
      <xdr:rowOff>5292</xdr:rowOff>
    </xdr:to>
    <xdr:graphicFrame macro="">
      <xdr:nvGraphicFramePr>
        <xdr:cNvPr id="21" name="Chart 352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0</xdr:colOff>
      <xdr:row>408</xdr:row>
      <xdr:rowOff>0</xdr:rowOff>
    </xdr:from>
    <xdr:to>
      <xdr:col>39</xdr:col>
      <xdr:colOff>323850</xdr:colOff>
      <xdr:row>419</xdr:row>
      <xdr:rowOff>89959</xdr:rowOff>
    </xdr:to>
    <xdr:graphicFrame macro="">
      <xdr:nvGraphicFramePr>
        <xdr:cNvPr id="22" name="Grafikon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isarna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isarna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isarn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6">
    <tabColor theme="6" tint="0.39997558519241921"/>
    <pageSetUpPr fitToPage="1"/>
  </sheetPr>
  <dimension ref="A1:AG158"/>
  <sheetViews>
    <sheetView showGridLines="0" tabSelected="1" zoomScaleNormal="100" workbookViewId="0">
      <pane ySplit="1" topLeftCell="A2" activePane="bottomLeft" state="frozen"/>
      <selection pane="bottomLeft" activeCell="B1" sqref="B1"/>
    </sheetView>
  </sheetViews>
  <sheetFormatPr defaultColWidth="0" defaultRowHeight="11.25" zeroHeight="1"/>
  <cols>
    <col min="1" max="1" width="3" style="53" customWidth="1"/>
    <col min="2" max="2" width="34.6640625" style="1" customWidth="1"/>
    <col min="3" max="4" width="8.33203125" style="1" customWidth="1"/>
    <col min="5" max="5" width="10" style="1" customWidth="1"/>
    <col min="6" max="6" width="12.1640625" style="1" customWidth="1"/>
    <col min="7" max="7" width="1" style="1" customWidth="1"/>
    <col min="8" max="8" width="10.33203125" style="1" customWidth="1"/>
    <col min="9" max="10" width="9" style="1" customWidth="1"/>
    <col min="11" max="11" width="9.83203125" style="1" customWidth="1"/>
    <col min="12" max="12" width="9" style="1" customWidth="1"/>
    <col min="13" max="13" width="9.5" style="1" customWidth="1"/>
    <col min="14" max="15" width="2.33203125" style="1" customWidth="1"/>
    <col min="16" max="16" width="7.33203125" style="1" customWidth="1"/>
    <col min="17" max="17" width="7.1640625" style="1" customWidth="1"/>
    <col min="18" max="19" width="6.5" style="1" customWidth="1"/>
    <col min="20" max="21" width="7.33203125" style="1" customWidth="1"/>
    <col min="22" max="22" width="7.1640625" style="1" customWidth="1"/>
    <col min="23" max="23" width="0.5" style="1" customWidth="1"/>
    <col min="24" max="24" width="14.83203125" style="1" customWidth="1"/>
    <col min="25" max="32" width="8.83203125" style="1" customWidth="1"/>
    <col min="33" max="33" width="2" style="1" customWidth="1"/>
    <col min="34" max="16384" width="9.33203125" style="1" hidden="1"/>
  </cols>
  <sheetData>
    <row r="1" spans="1:33" ht="21.6" customHeight="1">
      <c r="A1" s="52"/>
      <c r="B1" s="235" t="s">
        <v>47</v>
      </c>
      <c r="C1" s="63"/>
      <c r="D1" s="63"/>
      <c r="E1" s="63"/>
      <c r="F1" s="63"/>
      <c r="G1" s="63"/>
      <c r="H1" s="236" t="s">
        <v>79</v>
      </c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133"/>
      <c r="Y1" s="133"/>
      <c r="Z1" s="133"/>
      <c r="AA1" s="133"/>
      <c r="AB1" s="133"/>
      <c r="AC1" s="133"/>
      <c r="AD1" s="133"/>
      <c r="AE1" s="133"/>
      <c r="AF1" s="133"/>
    </row>
    <row r="2" spans="1:33" ht="15" customHeight="1">
      <c r="A2" s="53" t="s">
        <v>78</v>
      </c>
      <c r="B2" s="60" t="s">
        <v>115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3"/>
    </row>
    <row r="3" spans="1:33" ht="14.25" customHeight="1">
      <c r="A3" s="53" t="s">
        <v>78</v>
      </c>
      <c r="B3" s="60" t="s">
        <v>116</v>
      </c>
      <c r="C3" s="57"/>
      <c r="D3" s="59" t="s">
        <v>93</v>
      </c>
      <c r="E3" s="59" t="s">
        <v>93</v>
      </c>
      <c r="F3" s="59"/>
      <c r="G3" s="59"/>
      <c r="H3" s="59" t="s">
        <v>95</v>
      </c>
      <c r="I3" s="59" t="s">
        <v>96</v>
      </c>
      <c r="J3" s="59" t="s">
        <v>94</v>
      </c>
      <c r="K3" s="59" t="s">
        <v>123</v>
      </c>
      <c r="L3" s="59" t="s">
        <v>124</v>
      </c>
      <c r="M3" s="59" t="s">
        <v>126</v>
      </c>
      <c r="N3" s="59"/>
      <c r="O3" s="56"/>
      <c r="P3" s="56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3"/>
    </row>
    <row r="4" spans="1:33" ht="15" customHeight="1">
      <c r="A4" s="53" t="s">
        <v>78</v>
      </c>
      <c r="B4" s="65" t="s">
        <v>78</v>
      </c>
      <c r="C4" s="74"/>
      <c r="D4" s="101">
        <v>2025</v>
      </c>
      <c r="E4" s="101" t="s">
        <v>196</v>
      </c>
      <c r="F4" s="237" t="s">
        <v>197</v>
      </c>
      <c r="G4" s="102"/>
      <c r="H4" s="95"/>
      <c r="I4" s="95"/>
      <c r="J4" s="95" t="s">
        <v>196</v>
      </c>
      <c r="K4" s="95"/>
      <c r="L4" s="95"/>
      <c r="M4" s="95"/>
      <c r="N4" s="58"/>
      <c r="O4" s="58"/>
      <c r="P4" s="95"/>
      <c r="Q4" s="95"/>
      <c r="R4" s="95" t="s">
        <v>127</v>
      </c>
      <c r="S4" s="95"/>
      <c r="T4" s="95"/>
      <c r="U4" s="95"/>
      <c r="V4" s="20"/>
      <c r="W4" s="20"/>
      <c r="AG4" s="53"/>
    </row>
    <row r="5" spans="1:33" ht="23.25" customHeight="1">
      <c r="A5" s="53" t="s">
        <v>78</v>
      </c>
      <c r="B5" s="66" t="s">
        <v>65</v>
      </c>
      <c r="C5" s="74" t="s">
        <v>46</v>
      </c>
      <c r="D5" s="101"/>
      <c r="E5" s="234"/>
      <c r="F5" s="238"/>
      <c r="G5" s="102"/>
      <c r="H5" s="103" t="s">
        <v>64</v>
      </c>
      <c r="I5" s="101" t="s">
        <v>63</v>
      </c>
      <c r="J5" s="130" t="s">
        <v>62</v>
      </c>
      <c r="K5" s="101" t="s">
        <v>61</v>
      </c>
      <c r="L5" s="101" t="s">
        <v>60</v>
      </c>
      <c r="M5" s="121" t="s">
        <v>59</v>
      </c>
      <c r="N5" s="107"/>
      <c r="O5" s="58"/>
      <c r="P5" s="104" t="s">
        <v>64</v>
      </c>
      <c r="Q5" s="101" t="s">
        <v>63</v>
      </c>
      <c r="R5" s="130" t="s">
        <v>62</v>
      </c>
      <c r="S5" s="101" t="s">
        <v>61</v>
      </c>
      <c r="T5" s="101" t="s">
        <v>60</v>
      </c>
      <c r="U5" s="104" t="s">
        <v>59</v>
      </c>
      <c r="V5" s="20"/>
      <c r="W5" s="20"/>
      <c r="AG5" s="53"/>
    </row>
    <row r="6" spans="1:33" ht="11.25" customHeight="1">
      <c r="A6" s="53" t="s">
        <v>78</v>
      </c>
      <c r="B6" s="6" t="s">
        <v>8</v>
      </c>
      <c r="C6" s="75" t="s">
        <v>7</v>
      </c>
      <c r="D6" s="76">
        <v>6000</v>
      </c>
      <c r="E6" s="76">
        <v>6000</v>
      </c>
      <c r="F6" s="76"/>
      <c r="G6" s="24"/>
      <c r="H6" s="94">
        <v>7000</v>
      </c>
      <c r="I6" s="94">
        <v>6500</v>
      </c>
      <c r="J6" s="94">
        <v>6000</v>
      </c>
      <c r="K6" s="94">
        <v>5500</v>
      </c>
      <c r="L6" s="94">
        <v>5000</v>
      </c>
      <c r="M6" s="94">
        <v>6000</v>
      </c>
      <c r="N6" s="2"/>
      <c r="O6" s="58"/>
      <c r="P6" s="19">
        <v>116.66666666666667</v>
      </c>
      <c r="Q6" s="96">
        <v>108.33333333333333</v>
      </c>
      <c r="R6" s="96">
        <v>100</v>
      </c>
      <c r="S6" s="96">
        <v>91.666666666666657</v>
      </c>
      <c r="T6" s="96">
        <v>83.333333333333343</v>
      </c>
      <c r="U6" s="19">
        <v>100</v>
      </c>
      <c r="V6" s="25"/>
      <c r="W6" s="25"/>
      <c r="AG6" s="53"/>
    </row>
    <row r="7" spans="1:33" ht="6" customHeight="1">
      <c r="A7" s="53" t="s">
        <v>78</v>
      </c>
      <c r="B7" s="6"/>
      <c r="C7" s="75"/>
      <c r="D7" s="77"/>
      <c r="E7" s="77"/>
      <c r="F7" s="76"/>
      <c r="G7" s="24"/>
      <c r="H7" s="77"/>
      <c r="I7" s="77"/>
      <c r="J7" s="77"/>
      <c r="K7" s="77"/>
      <c r="L7" s="77"/>
      <c r="M7" s="77"/>
      <c r="O7" s="58"/>
      <c r="P7" s="25"/>
      <c r="Q7" s="97"/>
      <c r="R7" s="97"/>
      <c r="S7" s="97"/>
      <c r="T7" s="97"/>
      <c r="U7" s="25"/>
      <c r="V7" s="25"/>
      <c r="W7" s="25"/>
      <c r="AG7" s="53"/>
    </row>
    <row r="8" spans="1:33" ht="6" customHeight="1">
      <c r="A8" s="53" t="s">
        <v>78</v>
      </c>
      <c r="B8" s="6"/>
      <c r="C8" s="78"/>
      <c r="D8" s="77"/>
      <c r="E8" s="77"/>
      <c r="F8" s="77"/>
      <c r="G8" s="54"/>
      <c r="H8" s="77"/>
      <c r="I8" s="77"/>
      <c r="J8" s="77"/>
      <c r="K8" s="77"/>
      <c r="L8" s="77"/>
      <c r="M8" s="77"/>
      <c r="O8" s="58"/>
      <c r="P8" s="26"/>
      <c r="Q8" s="98"/>
      <c r="R8" s="98"/>
      <c r="S8" s="98"/>
      <c r="T8" s="98"/>
      <c r="U8" s="26"/>
      <c r="V8" s="25"/>
      <c r="W8" s="25"/>
      <c r="AG8" s="53"/>
    </row>
    <row r="9" spans="1:33" ht="11.25" customHeight="1">
      <c r="A9" s="53" t="s">
        <v>78</v>
      </c>
      <c r="B9" s="6" t="s">
        <v>71</v>
      </c>
      <c r="C9" s="75" t="s">
        <v>70</v>
      </c>
      <c r="D9" s="79">
        <v>1</v>
      </c>
      <c r="E9" s="79">
        <v>1</v>
      </c>
      <c r="F9" s="80">
        <v>100</v>
      </c>
      <c r="G9" s="5"/>
      <c r="H9" s="79">
        <v>1</v>
      </c>
      <c r="I9" s="79">
        <v>1</v>
      </c>
      <c r="J9" s="79">
        <v>1</v>
      </c>
      <c r="K9" s="79">
        <v>1</v>
      </c>
      <c r="L9" s="79">
        <v>1</v>
      </c>
      <c r="M9" s="79">
        <v>5</v>
      </c>
      <c r="N9" s="6"/>
      <c r="O9" s="58"/>
      <c r="P9" s="26">
        <v>100</v>
      </c>
      <c r="Q9" s="98">
        <v>100</v>
      </c>
      <c r="R9" s="98">
        <v>100</v>
      </c>
      <c r="S9" s="98">
        <v>100</v>
      </c>
      <c r="T9" s="98">
        <v>100</v>
      </c>
      <c r="U9" s="26">
        <v>500</v>
      </c>
      <c r="V9" s="11"/>
      <c r="W9" s="11"/>
      <c r="AG9" s="53"/>
    </row>
    <row r="10" spans="1:33" ht="11.25" customHeight="1">
      <c r="A10" s="53" t="s">
        <v>78</v>
      </c>
      <c r="B10" s="67" t="s">
        <v>45</v>
      </c>
      <c r="C10" s="81"/>
      <c r="D10" s="82"/>
      <c r="E10" s="82"/>
      <c r="F10" s="83"/>
      <c r="H10" s="82"/>
      <c r="I10" s="82"/>
      <c r="J10" s="82"/>
      <c r="K10" s="82"/>
      <c r="L10" s="82"/>
      <c r="M10" s="82"/>
      <c r="O10" s="58"/>
      <c r="P10" s="70"/>
      <c r="Q10" s="82"/>
      <c r="R10" s="82"/>
      <c r="S10" s="82"/>
      <c r="T10" s="82"/>
      <c r="U10" s="70"/>
      <c r="V10" s="23"/>
      <c r="W10" s="23"/>
      <c r="AG10" s="53"/>
    </row>
    <row r="11" spans="1:33" s="6" customFormat="1" ht="11.25" customHeight="1">
      <c r="A11" s="53" t="s">
        <v>78</v>
      </c>
      <c r="B11" s="67" t="s">
        <v>44</v>
      </c>
      <c r="C11" s="84" t="s">
        <v>18</v>
      </c>
      <c r="D11" s="85">
        <v>1658.9321948335755</v>
      </c>
      <c r="E11" s="85">
        <v>1757.8258827404998</v>
      </c>
      <c r="F11" s="86">
        <v>105.96128571227381</v>
      </c>
      <c r="G11" s="5"/>
      <c r="H11" s="85">
        <v>1971.4814549496696</v>
      </c>
      <c r="I11" s="85">
        <v>1878.5937277779908</v>
      </c>
      <c r="J11" s="85">
        <v>1757.8258827404998</v>
      </c>
      <c r="K11" s="85">
        <v>1677.7202655334956</v>
      </c>
      <c r="L11" s="85">
        <v>1592.6901391834647</v>
      </c>
      <c r="M11" s="85">
        <v>1697.3981895957281</v>
      </c>
      <c r="N11" s="1"/>
      <c r="O11" s="58"/>
      <c r="P11" s="71">
        <v>112.15453557186648</v>
      </c>
      <c r="Q11" s="85">
        <v>106.87029621211464</v>
      </c>
      <c r="R11" s="85">
        <v>100</v>
      </c>
      <c r="S11" s="85">
        <v>95.442915137754298</v>
      </c>
      <c r="T11" s="85">
        <v>90.605682554885135</v>
      </c>
      <c r="U11" s="71">
        <v>96.56236185061951</v>
      </c>
      <c r="V11" s="5"/>
      <c r="W11" s="5"/>
      <c r="AG11" s="53"/>
    </row>
    <row r="12" spans="1:33" ht="11.25" customHeight="1">
      <c r="A12" s="53" t="s">
        <v>78</v>
      </c>
      <c r="B12" s="68" t="s">
        <v>43</v>
      </c>
      <c r="C12" s="81" t="s">
        <v>18</v>
      </c>
      <c r="D12" s="87">
        <v>133</v>
      </c>
      <c r="E12" s="87">
        <v>133</v>
      </c>
      <c r="F12" s="88">
        <v>100</v>
      </c>
      <c r="G12" s="5"/>
      <c r="H12" s="87">
        <v>133</v>
      </c>
      <c r="I12" s="87">
        <v>133</v>
      </c>
      <c r="J12" s="87">
        <v>133</v>
      </c>
      <c r="K12" s="87">
        <v>133</v>
      </c>
      <c r="L12" s="87">
        <v>133</v>
      </c>
      <c r="M12" s="87">
        <v>133</v>
      </c>
      <c r="O12" s="58"/>
      <c r="P12" s="72">
        <v>100</v>
      </c>
      <c r="Q12" s="87">
        <v>100</v>
      </c>
      <c r="R12" s="87">
        <v>100</v>
      </c>
      <c r="S12" s="87">
        <v>100</v>
      </c>
      <c r="T12" s="87">
        <v>100</v>
      </c>
      <c r="U12" s="72">
        <v>100</v>
      </c>
      <c r="V12" s="3"/>
      <c r="W12" s="3"/>
      <c r="AG12" s="53"/>
    </row>
    <row r="13" spans="1:33" ht="11.25" customHeight="1">
      <c r="A13" s="53" t="s">
        <v>78</v>
      </c>
      <c r="B13" s="68" t="s">
        <v>42</v>
      </c>
      <c r="C13" s="81" t="s">
        <v>18</v>
      </c>
      <c r="D13" s="87">
        <v>450.89315352445726</v>
      </c>
      <c r="E13" s="87">
        <v>500.35564958803377</v>
      </c>
      <c r="F13" s="88">
        <v>110.96989290632322</v>
      </c>
      <c r="G13" s="5"/>
      <c r="H13" s="87">
        <v>583.4062322171668</v>
      </c>
      <c r="I13" s="87">
        <v>541.88094090260017</v>
      </c>
      <c r="J13" s="87">
        <v>500.35564958803377</v>
      </c>
      <c r="K13" s="87">
        <v>458.8303582734672</v>
      </c>
      <c r="L13" s="87">
        <v>417.30506695890068</v>
      </c>
      <c r="M13" s="87">
        <v>500.35564958803377</v>
      </c>
      <c r="O13" s="58"/>
      <c r="P13" s="72">
        <v>116.59831016148463</v>
      </c>
      <c r="Q13" s="87">
        <v>108.29915508074228</v>
      </c>
      <c r="R13" s="87">
        <v>100</v>
      </c>
      <c r="S13" s="87">
        <v>91.700844919257676</v>
      </c>
      <c r="T13" s="87">
        <v>83.401689838515352</v>
      </c>
      <c r="U13" s="72">
        <v>100</v>
      </c>
      <c r="V13" s="3"/>
      <c r="W13" s="3"/>
      <c r="AG13" s="53"/>
    </row>
    <row r="14" spans="1:33" ht="11.25" customHeight="1">
      <c r="A14" s="53" t="s">
        <v>78</v>
      </c>
      <c r="B14" s="68" t="s">
        <v>41</v>
      </c>
      <c r="C14" s="81" t="s">
        <v>18</v>
      </c>
      <c r="D14" s="87">
        <v>167.89149</v>
      </c>
      <c r="E14" s="87">
        <v>169.92129</v>
      </c>
      <c r="F14" s="88">
        <v>101.20899516705701</v>
      </c>
      <c r="G14" s="5"/>
      <c r="H14" s="87">
        <v>218.37180000000004</v>
      </c>
      <c r="I14" s="87">
        <v>199.56504000000001</v>
      </c>
      <c r="J14" s="87">
        <v>169.92129</v>
      </c>
      <c r="K14" s="87">
        <v>169.92129</v>
      </c>
      <c r="L14" s="87">
        <v>169.92129</v>
      </c>
      <c r="M14" s="87">
        <v>169.92129</v>
      </c>
      <c r="O14" s="58"/>
      <c r="P14" s="72">
        <v>128.51350175131088</v>
      </c>
      <c r="Q14" s="87">
        <v>117.44557730229097</v>
      </c>
      <c r="R14" s="87">
        <v>100</v>
      </c>
      <c r="S14" s="87">
        <v>100</v>
      </c>
      <c r="T14" s="87">
        <v>100</v>
      </c>
      <c r="U14" s="72">
        <v>100</v>
      </c>
      <c r="V14" s="3"/>
      <c r="W14" s="3"/>
      <c r="AG14" s="53"/>
    </row>
    <row r="15" spans="1:33" ht="11.25" customHeight="1">
      <c r="A15" s="53" t="s">
        <v>78</v>
      </c>
      <c r="B15" s="68" t="s">
        <v>40</v>
      </c>
      <c r="C15" s="81" t="s">
        <v>18</v>
      </c>
      <c r="D15" s="87">
        <v>513.24236034984551</v>
      </c>
      <c r="E15" s="87">
        <v>540.59953434225849</v>
      </c>
      <c r="F15" s="88">
        <v>105.33026423886082</v>
      </c>
      <c r="G15" s="5"/>
      <c r="H15" s="87">
        <v>590.6161233993015</v>
      </c>
      <c r="I15" s="87">
        <v>565.60782887077994</v>
      </c>
      <c r="J15" s="87">
        <v>540.59953434225849</v>
      </c>
      <c r="K15" s="87">
        <v>515.59123981373682</v>
      </c>
      <c r="L15" s="87">
        <v>490.58294528521537</v>
      </c>
      <c r="M15" s="87">
        <v>540.59953434225849</v>
      </c>
      <c r="O15" s="58"/>
      <c r="P15" s="72">
        <v>109.25205921938088</v>
      </c>
      <c r="Q15" s="87">
        <v>104.62602960969043</v>
      </c>
      <c r="R15" s="87">
        <v>100</v>
      </c>
      <c r="S15" s="87">
        <v>95.373970390309523</v>
      </c>
      <c r="T15" s="87">
        <v>90.747940780619103</v>
      </c>
      <c r="U15" s="72">
        <v>100</v>
      </c>
      <c r="V15" s="3"/>
      <c r="W15" s="3"/>
      <c r="AG15" s="53"/>
    </row>
    <row r="16" spans="1:33" ht="11.25" customHeight="1">
      <c r="A16" s="53" t="s">
        <v>78</v>
      </c>
      <c r="B16" s="68" t="s">
        <v>39</v>
      </c>
      <c r="C16" s="81" t="s">
        <v>18</v>
      </c>
      <c r="D16" s="87">
        <v>18.824400000000001</v>
      </c>
      <c r="E16" s="87">
        <v>14.118299999999998</v>
      </c>
      <c r="F16" s="88">
        <v>74.999999999999986</v>
      </c>
      <c r="G16" s="5"/>
      <c r="H16" s="87">
        <v>16.471349999999997</v>
      </c>
      <c r="I16" s="87">
        <v>15.294824999999998</v>
      </c>
      <c r="J16" s="87">
        <v>14.118299999999998</v>
      </c>
      <c r="K16" s="87">
        <v>12.941774999999998</v>
      </c>
      <c r="L16" s="87">
        <v>11.765249999999998</v>
      </c>
      <c r="M16" s="87">
        <v>14.118299999999998</v>
      </c>
      <c r="O16" s="58"/>
      <c r="P16" s="72">
        <v>116.66666666666667</v>
      </c>
      <c r="Q16" s="87">
        <v>108.33333333333333</v>
      </c>
      <c r="R16" s="87">
        <v>100</v>
      </c>
      <c r="S16" s="87">
        <v>91.666666666666657</v>
      </c>
      <c r="T16" s="87">
        <v>83.333333333333343</v>
      </c>
      <c r="U16" s="72">
        <v>100</v>
      </c>
      <c r="V16" s="3"/>
      <c r="W16" s="3"/>
      <c r="AG16" s="53"/>
    </row>
    <row r="17" spans="1:33" ht="11.25" customHeight="1">
      <c r="A17" s="53" t="s">
        <v>78</v>
      </c>
      <c r="B17" s="68" t="s">
        <v>38</v>
      </c>
      <c r="C17" s="81" t="s">
        <v>18</v>
      </c>
      <c r="D17" s="87">
        <v>343.86886785490645</v>
      </c>
      <c r="E17" s="87">
        <v>367.03242088677723</v>
      </c>
      <c r="F17" s="88">
        <v>106.73615880855039</v>
      </c>
      <c r="G17" s="5"/>
      <c r="H17" s="87">
        <v>392.0841164683406</v>
      </c>
      <c r="I17" s="87">
        <v>387.80101184839685</v>
      </c>
      <c r="J17" s="87">
        <v>367.03242088677723</v>
      </c>
      <c r="K17" s="87">
        <v>356.6663999734717</v>
      </c>
      <c r="L17" s="87">
        <v>341.5696612759715</v>
      </c>
      <c r="M17" s="87">
        <v>307.88188911525793</v>
      </c>
      <c r="O17" s="58"/>
      <c r="P17" s="72">
        <v>106.82547212615077</v>
      </c>
      <c r="Q17" s="87">
        <v>105.65851673578078</v>
      </c>
      <c r="R17" s="87">
        <v>100</v>
      </c>
      <c r="S17" s="87">
        <v>97.175720638449192</v>
      </c>
      <c r="T17" s="87">
        <v>93.062531220188717</v>
      </c>
      <c r="U17" s="72">
        <v>83.884112572778363</v>
      </c>
      <c r="V17" s="3"/>
      <c r="W17" s="3"/>
      <c r="AG17" s="53"/>
    </row>
    <row r="18" spans="1:33" ht="11.25" customHeight="1">
      <c r="A18" s="53" t="s">
        <v>78</v>
      </c>
      <c r="B18" s="68" t="s">
        <v>11</v>
      </c>
      <c r="C18" s="81" t="s">
        <v>18</v>
      </c>
      <c r="D18" s="87">
        <v>0</v>
      </c>
      <c r="E18" s="87">
        <v>0</v>
      </c>
      <c r="F18" s="88"/>
      <c r="G18" s="5"/>
      <c r="H18" s="87">
        <v>0</v>
      </c>
      <c r="I18" s="87">
        <v>0</v>
      </c>
      <c r="J18" s="87">
        <v>0</v>
      </c>
      <c r="K18" s="87">
        <v>0</v>
      </c>
      <c r="L18" s="87">
        <v>0</v>
      </c>
      <c r="M18" s="87">
        <v>0</v>
      </c>
      <c r="O18" s="58"/>
      <c r="P18" s="72"/>
      <c r="Q18" s="87"/>
      <c r="R18" s="87"/>
      <c r="S18" s="87"/>
      <c r="T18" s="87"/>
      <c r="U18" s="72"/>
      <c r="V18" s="3"/>
      <c r="W18" s="3"/>
      <c r="AG18" s="53"/>
    </row>
    <row r="19" spans="1:33" s="6" customFormat="1" ht="11.25" customHeight="1">
      <c r="A19" s="53" t="s">
        <v>78</v>
      </c>
      <c r="B19" s="67" t="s">
        <v>37</v>
      </c>
      <c r="C19" s="84" t="s">
        <v>18</v>
      </c>
      <c r="D19" s="85">
        <v>390.04552650150106</v>
      </c>
      <c r="E19" s="85">
        <v>418.00043946613039</v>
      </c>
      <c r="F19" s="86">
        <v>107.1670897536936</v>
      </c>
      <c r="G19" s="5"/>
      <c r="H19" s="85">
        <v>456.0028166610756</v>
      </c>
      <c r="I19" s="85">
        <v>443.78073288244246</v>
      </c>
      <c r="J19" s="85">
        <v>418.00043946613039</v>
      </c>
      <c r="K19" s="85">
        <v>401.86180779911257</v>
      </c>
      <c r="L19" s="85">
        <v>380.53004742317131</v>
      </c>
      <c r="M19" s="85">
        <v>377.53392713282074</v>
      </c>
      <c r="N19" s="1"/>
      <c r="O19" s="58"/>
      <c r="P19" s="71">
        <v>109.09146823947884</v>
      </c>
      <c r="Q19" s="85">
        <v>106.16752782586512</v>
      </c>
      <c r="R19" s="85">
        <v>100</v>
      </c>
      <c r="S19" s="85">
        <v>96.139087392436707</v>
      </c>
      <c r="T19" s="85">
        <v>91.035800801832607</v>
      </c>
      <c r="U19" s="71">
        <v>90.319026366337454</v>
      </c>
      <c r="V19" s="5"/>
      <c r="W19" s="5"/>
      <c r="AG19" s="53"/>
    </row>
    <row r="20" spans="1:33" ht="11.25" customHeight="1">
      <c r="A20" s="53" t="s">
        <v>78</v>
      </c>
      <c r="B20" s="68" t="s">
        <v>36</v>
      </c>
      <c r="C20" s="81" t="s">
        <v>18</v>
      </c>
      <c r="D20" s="87">
        <v>170.1305719141024</v>
      </c>
      <c r="E20" s="87">
        <v>183.57088709531649</v>
      </c>
      <c r="F20" s="88">
        <v>107.89999999999999</v>
      </c>
      <c r="G20" s="5"/>
      <c r="H20" s="87">
        <v>203.35755653412042</v>
      </c>
      <c r="I20" s="87">
        <v>196.90279339768219</v>
      </c>
      <c r="J20" s="87">
        <v>183.57088709531649</v>
      </c>
      <c r="K20" s="87">
        <v>175.12921367152194</v>
      </c>
      <c r="L20" s="87">
        <v>163.72111448787345</v>
      </c>
      <c r="M20" s="87">
        <v>164.02097310566893</v>
      </c>
      <c r="O20" s="58"/>
      <c r="P20" s="72">
        <v>110.77876222743859</v>
      </c>
      <c r="Q20" s="87">
        <v>107.26253847400284</v>
      </c>
      <c r="R20" s="87">
        <v>100</v>
      </c>
      <c r="S20" s="87">
        <v>95.401409473272665</v>
      </c>
      <c r="T20" s="87">
        <v>89.186862404202287</v>
      </c>
      <c r="U20" s="72">
        <v>89.350209992994934</v>
      </c>
      <c r="V20" s="3"/>
      <c r="W20" s="3"/>
      <c r="AA20" s="11"/>
      <c r="AB20" s="11"/>
      <c r="AC20" s="11"/>
      <c r="AD20" s="11"/>
      <c r="AG20" s="53"/>
    </row>
    <row r="21" spans="1:33" s="6" customFormat="1" ht="11.25" customHeight="1">
      <c r="A21" s="53" t="s">
        <v>78</v>
      </c>
      <c r="B21" s="67" t="s">
        <v>35</v>
      </c>
      <c r="C21" s="84" t="s">
        <v>18</v>
      </c>
      <c r="D21" s="85">
        <v>2048.9777213350767</v>
      </c>
      <c r="E21" s="85">
        <v>2175.8263222066303</v>
      </c>
      <c r="F21" s="86">
        <v>106.1908238215934</v>
      </c>
      <c r="G21" s="5"/>
      <c r="H21" s="85">
        <v>2427.4842716107451</v>
      </c>
      <c r="I21" s="85">
        <v>2322.3744606604332</v>
      </c>
      <c r="J21" s="85">
        <v>2175.8263222066303</v>
      </c>
      <c r="K21" s="85">
        <v>2079.5820733326082</v>
      </c>
      <c r="L21" s="85">
        <v>1973.2201866066359</v>
      </c>
      <c r="M21" s="85">
        <v>2074.9321167285489</v>
      </c>
      <c r="N21" s="1"/>
      <c r="O21" s="58"/>
      <c r="P21" s="71">
        <v>111.56608626505142</v>
      </c>
      <c r="Q21" s="85">
        <v>106.73528658781828</v>
      </c>
      <c r="R21" s="85">
        <v>100</v>
      </c>
      <c r="S21" s="85">
        <v>95.57665757180402</v>
      </c>
      <c r="T21" s="85">
        <v>90.688313054576895</v>
      </c>
      <c r="U21" s="71">
        <v>95.362947655869945</v>
      </c>
      <c r="V21" s="5"/>
      <c r="W21" s="5"/>
      <c r="AG21" s="53"/>
    </row>
    <row r="22" spans="1:33" ht="12" customHeight="1">
      <c r="A22" s="53" t="s">
        <v>78</v>
      </c>
      <c r="B22" s="68" t="s">
        <v>4</v>
      </c>
      <c r="C22" s="81" t="s">
        <v>18</v>
      </c>
      <c r="D22" s="87">
        <v>345.43010584783872</v>
      </c>
      <c r="E22" s="87">
        <v>363.11499744392768</v>
      </c>
      <c r="F22" s="88">
        <v>105.11967292274147</v>
      </c>
      <c r="G22" s="5"/>
      <c r="H22" s="87">
        <v>418.71639020005762</v>
      </c>
      <c r="I22" s="87">
        <v>390.9156938219927</v>
      </c>
      <c r="J22" s="87">
        <v>363.11499744392768</v>
      </c>
      <c r="K22" s="87">
        <v>325.47875409681342</v>
      </c>
      <c r="L22" s="87">
        <v>297.67805771874845</v>
      </c>
      <c r="M22" s="87">
        <v>363.11499744392768</v>
      </c>
      <c r="O22" s="58"/>
      <c r="P22" s="72">
        <v>115.31233717899958</v>
      </c>
      <c r="Q22" s="87">
        <v>107.6561685894998</v>
      </c>
      <c r="R22" s="87">
        <v>100</v>
      </c>
      <c r="S22" s="87">
        <v>89.635172435166069</v>
      </c>
      <c r="T22" s="87">
        <v>81.97900384566627</v>
      </c>
      <c r="U22" s="72">
        <v>100</v>
      </c>
      <c r="V22" s="3"/>
      <c r="W22" s="3"/>
      <c r="X22" s="239" t="s">
        <v>137</v>
      </c>
      <c r="Y22" s="240"/>
      <c r="Z22" s="240"/>
      <c r="AA22" s="240"/>
      <c r="AB22" s="240"/>
      <c r="AC22" s="240"/>
      <c r="AD22" s="240"/>
      <c r="AE22" s="240"/>
      <c r="AF22" s="240"/>
      <c r="AG22" s="53"/>
    </row>
    <row r="23" spans="1:33" ht="12.6" customHeight="1">
      <c r="A23" s="53" t="s">
        <v>78</v>
      </c>
      <c r="B23" s="68" t="s">
        <v>34</v>
      </c>
      <c r="C23" s="81" t="s">
        <v>18</v>
      </c>
      <c r="D23" s="87">
        <v>1703.5476154872381</v>
      </c>
      <c r="E23" s="87">
        <v>1812.7113247627026</v>
      </c>
      <c r="F23" s="88">
        <v>106.40802219339447</v>
      </c>
      <c r="G23" s="5"/>
      <c r="H23" s="87">
        <v>2008.7678814106876</v>
      </c>
      <c r="I23" s="87">
        <v>1931.4587668384406</v>
      </c>
      <c r="J23" s="87">
        <v>1812.7113247627026</v>
      </c>
      <c r="K23" s="87">
        <v>1754.1033192357947</v>
      </c>
      <c r="L23" s="87">
        <v>1675.5421288878874</v>
      </c>
      <c r="M23" s="87">
        <v>1711.8171192846212</v>
      </c>
      <c r="O23" s="58"/>
      <c r="P23" s="72">
        <v>110.81565244116574</v>
      </c>
      <c r="Q23" s="87">
        <v>106.55081923158851</v>
      </c>
      <c r="R23" s="87">
        <v>100</v>
      </c>
      <c r="S23" s="87">
        <v>96.766831832168307</v>
      </c>
      <c r="T23" s="87">
        <v>92.4329266331046</v>
      </c>
      <c r="U23" s="72">
        <v>94.434072094116289</v>
      </c>
      <c r="V23" s="3"/>
      <c r="W23" s="3"/>
      <c r="X23" s="108" t="s">
        <v>199</v>
      </c>
      <c r="AG23" s="53"/>
    </row>
    <row r="24" spans="1:33" ht="11.25" customHeight="1">
      <c r="A24" s="53" t="s">
        <v>78</v>
      </c>
      <c r="B24" s="68" t="s">
        <v>33</v>
      </c>
      <c r="C24" s="81" t="s">
        <v>18</v>
      </c>
      <c r="D24" s="87">
        <v>202.77999999999994</v>
      </c>
      <c r="E24" s="87">
        <v>202.77999999999994</v>
      </c>
      <c r="F24" s="88">
        <v>100</v>
      </c>
      <c r="G24" s="5"/>
      <c r="H24" s="87">
        <v>202.77999999999994</v>
      </c>
      <c r="I24" s="87">
        <v>202.77999999999994</v>
      </c>
      <c r="J24" s="87">
        <v>202.77999999999994</v>
      </c>
      <c r="K24" s="87">
        <v>202.77999999999994</v>
      </c>
      <c r="L24" s="87">
        <v>202.77999999999994</v>
      </c>
      <c r="M24" s="87">
        <v>202.77999999999994</v>
      </c>
      <c r="O24" s="58"/>
      <c r="P24" s="72">
        <v>100</v>
      </c>
      <c r="Q24" s="87">
        <v>100</v>
      </c>
      <c r="R24" s="87">
        <v>100</v>
      </c>
      <c r="S24" s="87">
        <v>100</v>
      </c>
      <c r="T24" s="87">
        <v>100</v>
      </c>
      <c r="U24" s="72">
        <v>100</v>
      </c>
      <c r="V24" s="3"/>
      <c r="W24" s="3"/>
      <c r="Y24" s="21"/>
      <c r="Z24" s="21"/>
      <c r="AA24" s="21"/>
      <c r="AB24" s="21"/>
      <c r="AC24" s="21"/>
      <c r="AD24" s="21"/>
      <c r="AE24" s="21"/>
      <c r="AF24" s="21"/>
      <c r="AG24" s="53"/>
    </row>
    <row r="25" spans="1:33" ht="11.25" customHeight="1">
      <c r="A25" s="53" t="s">
        <v>78</v>
      </c>
      <c r="B25" s="67" t="s">
        <v>32</v>
      </c>
      <c r="C25" s="84" t="s">
        <v>18</v>
      </c>
      <c r="D25" s="85">
        <v>1500.7676154872381</v>
      </c>
      <c r="E25" s="85">
        <v>1609.9313247627026</v>
      </c>
      <c r="F25" s="86">
        <v>107.27385826752555</v>
      </c>
      <c r="G25" s="5"/>
      <c r="H25" s="85">
        <v>1805.9878814106876</v>
      </c>
      <c r="I25" s="85">
        <v>1728.6787668384407</v>
      </c>
      <c r="J25" s="85">
        <v>1609.9313247627026</v>
      </c>
      <c r="K25" s="85">
        <v>1551.3233192357948</v>
      </c>
      <c r="L25" s="85">
        <v>1472.7621288878875</v>
      </c>
      <c r="M25" s="85">
        <v>1509.0371192846212</v>
      </c>
      <c r="N25" s="6"/>
      <c r="O25" s="58"/>
      <c r="P25" s="71">
        <v>112.17794533421375</v>
      </c>
      <c r="Q25" s="85">
        <v>107.37593214376651</v>
      </c>
      <c r="R25" s="85">
        <v>100</v>
      </c>
      <c r="S25" s="85">
        <v>96.35959592651902</v>
      </c>
      <c r="T25" s="85">
        <v>91.479810736955912</v>
      </c>
      <c r="U25" s="71">
        <v>93.733011841796866</v>
      </c>
      <c r="V25" s="3"/>
      <c r="W25" s="3"/>
      <c r="AG25" s="53"/>
    </row>
    <row r="26" spans="1:33" s="8" customFormat="1" ht="11.25" customHeight="1">
      <c r="A26" s="53" t="s">
        <v>78</v>
      </c>
      <c r="B26" s="69" t="s">
        <v>31</v>
      </c>
      <c r="C26" s="89" t="s">
        <v>29</v>
      </c>
      <c r="D26" s="90">
        <v>0.25012793591453969</v>
      </c>
      <c r="E26" s="90">
        <v>0.26832188746045044</v>
      </c>
      <c r="F26" s="86">
        <v>107.27385826752555</v>
      </c>
      <c r="G26" s="7"/>
      <c r="H26" s="90">
        <v>0.25799826877295534</v>
      </c>
      <c r="I26" s="90">
        <v>0.26595057951360623</v>
      </c>
      <c r="J26" s="90">
        <v>0.26832188746045044</v>
      </c>
      <c r="K26" s="90">
        <v>0.28205878531559903</v>
      </c>
      <c r="L26" s="90">
        <v>0.29455242577757751</v>
      </c>
      <c r="M26" s="90">
        <v>0.25150618654743689</v>
      </c>
      <c r="N26" s="9"/>
      <c r="O26" s="58"/>
      <c r="P26" s="73">
        <v>96.152524572183196</v>
      </c>
      <c r="Q26" s="99">
        <v>99.116245055784461</v>
      </c>
      <c r="R26" s="99">
        <v>100</v>
      </c>
      <c r="S26" s="99">
        <v>105.11955919256619</v>
      </c>
      <c r="T26" s="99">
        <v>109.77577288434711</v>
      </c>
      <c r="U26" s="73">
        <v>93.733011841796881</v>
      </c>
      <c r="V26" s="3"/>
      <c r="W26" s="22"/>
      <c r="AG26" s="53"/>
    </row>
    <row r="27" spans="1:33" s="8" customFormat="1" ht="11.25" customHeight="1">
      <c r="A27" s="126" t="s">
        <v>78</v>
      </c>
      <c r="B27" s="8" t="s">
        <v>30</v>
      </c>
      <c r="C27" s="91" t="s">
        <v>29</v>
      </c>
      <c r="D27" s="132">
        <v>0.193</v>
      </c>
      <c r="E27" s="132">
        <v>0.185</v>
      </c>
      <c r="F27" s="80">
        <v>95.854922279792746</v>
      </c>
      <c r="G27" s="7"/>
      <c r="H27" s="132">
        <v>0.185</v>
      </c>
      <c r="I27" s="132">
        <v>0.185</v>
      </c>
      <c r="J27" s="132">
        <v>0.185</v>
      </c>
      <c r="K27" s="132">
        <v>0.185</v>
      </c>
      <c r="L27" s="132">
        <v>0.185</v>
      </c>
      <c r="M27" s="132">
        <v>0.185</v>
      </c>
      <c r="N27" s="9"/>
      <c r="O27" s="58"/>
      <c r="P27" s="22">
        <v>100</v>
      </c>
      <c r="Q27" s="100">
        <v>100</v>
      </c>
      <c r="R27" s="100">
        <v>100</v>
      </c>
      <c r="S27" s="100">
        <v>100</v>
      </c>
      <c r="T27" s="100">
        <v>100</v>
      </c>
      <c r="U27" s="22">
        <v>100</v>
      </c>
      <c r="V27" s="3"/>
      <c r="W27" s="22"/>
      <c r="AG27" s="53"/>
    </row>
    <row r="28" spans="1:33" s="6" customFormat="1" ht="11.25" customHeight="1">
      <c r="A28" s="53" t="s">
        <v>78</v>
      </c>
      <c r="B28" s="6" t="s">
        <v>28</v>
      </c>
      <c r="C28" s="75" t="s">
        <v>18</v>
      </c>
      <c r="D28" s="79">
        <v>1706.2101058478386</v>
      </c>
      <c r="E28" s="79">
        <v>1675.8949974439277</v>
      </c>
      <c r="F28" s="80">
        <v>98.223248807400125</v>
      </c>
      <c r="G28" s="5"/>
      <c r="H28" s="79">
        <v>1916.4963902000575</v>
      </c>
      <c r="I28" s="79">
        <v>1796.1956938219926</v>
      </c>
      <c r="J28" s="79">
        <v>1675.8949974439277</v>
      </c>
      <c r="K28" s="79">
        <v>1545.7587540968134</v>
      </c>
      <c r="L28" s="79">
        <v>1425.4580577187485</v>
      </c>
      <c r="M28" s="79">
        <v>1675.8949974439277</v>
      </c>
      <c r="N28" s="1"/>
      <c r="O28" s="58"/>
      <c r="P28" s="5">
        <v>114.35659114223115</v>
      </c>
      <c r="Q28" s="79">
        <v>107.17829557111558</v>
      </c>
      <c r="R28" s="79">
        <v>100</v>
      </c>
      <c r="S28" s="79">
        <v>92.234821182377303</v>
      </c>
      <c r="T28" s="79">
        <v>85.056525611261733</v>
      </c>
      <c r="U28" s="5">
        <v>100</v>
      </c>
      <c r="V28" s="5"/>
      <c r="W28" s="5"/>
      <c r="AG28" s="53"/>
    </row>
    <row r="29" spans="1:33" ht="11.25" customHeight="1">
      <c r="A29" s="53" t="s">
        <v>78</v>
      </c>
      <c r="B29" s="1" t="s">
        <v>27</v>
      </c>
      <c r="C29" s="78" t="s">
        <v>18</v>
      </c>
      <c r="D29" s="93">
        <v>0</v>
      </c>
      <c r="E29" s="93">
        <v>0</v>
      </c>
      <c r="F29" s="80"/>
      <c r="G29" s="5"/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O29" s="58"/>
      <c r="P29" s="3"/>
      <c r="Q29" s="93"/>
      <c r="R29" s="93"/>
      <c r="S29" s="93"/>
      <c r="T29" s="93"/>
      <c r="U29" s="3"/>
      <c r="V29" s="3"/>
      <c r="W29" s="3"/>
      <c r="AG29" s="53"/>
    </row>
    <row r="30" spans="1:33" ht="11.25" customHeight="1">
      <c r="A30" s="53" t="s">
        <v>78</v>
      </c>
      <c r="B30" s="67" t="s">
        <v>26</v>
      </c>
      <c r="C30" s="81"/>
      <c r="D30" s="87"/>
      <c r="E30" s="87"/>
      <c r="F30" s="86"/>
      <c r="G30" s="5"/>
      <c r="H30" s="87"/>
      <c r="I30" s="87"/>
      <c r="J30" s="87"/>
      <c r="K30" s="87"/>
      <c r="L30" s="87"/>
      <c r="M30" s="87"/>
      <c r="O30" s="58"/>
      <c r="P30" s="72"/>
      <c r="Q30" s="87"/>
      <c r="R30" s="87"/>
      <c r="S30" s="87"/>
      <c r="T30" s="87"/>
      <c r="U30" s="72"/>
      <c r="V30" s="3"/>
      <c r="W30" s="3"/>
      <c r="AG30" s="53"/>
    </row>
    <row r="31" spans="1:33" ht="11.25" customHeight="1">
      <c r="A31" s="53" t="s">
        <v>78</v>
      </c>
      <c r="B31" s="68" t="s">
        <v>25</v>
      </c>
      <c r="C31" s="81" t="s">
        <v>18</v>
      </c>
      <c r="D31" s="87">
        <v>1706.2101058478386</v>
      </c>
      <c r="E31" s="87">
        <v>1675.8949974439277</v>
      </c>
      <c r="F31" s="88">
        <v>98.223248807400125</v>
      </c>
      <c r="G31" s="5"/>
      <c r="H31" s="87">
        <v>1916.4963902000575</v>
      </c>
      <c r="I31" s="87">
        <v>1796.1956938219926</v>
      </c>
      <c r="J31" s="87">
        <v>1675.8949974439277</v>
      </c>
      <c r="K31" s="87">
        <v>1545.7587540968134</v>
      </c>
      <c r="L31" s="87">
        <v>1425.4580577187485</v>
      </c>
      <c r="M31" s="87">
        <v>1675.8949974439277</v>
      </c>
      <c r="O31" s="58"/>
      <c r="P31" s="72">
        <v>114.35659114223115</v>
      </c>
      <c r="Q31" s="87">
        <v>107.17829557111558</v>
      </c>
      <c r="R31" s="87">
        <v>100</v>
      </c>
      <c r="S31" s="87">
        <v>92.234821182377303</v>
      </c>
      <c r="T31" s="87">
        <v>85.056525611261733</v>
      </c>
      <c r="U31" s="72">
        <v>100</v>
      </c>
      <c r="V31" s="3"/>
      <c r="W31" s="3"/>
      <c r="AG31" s="53"/>
    </row>
    <row r="32" spans="1:33" ht="11.25" customHeight="1">
      <c r="A32" s="53" t="s">
        <v>78</v>
      </c>
      <c r="B32" s="68" t="s">
        <v>24</v>
      </c>
      <c r="C32" s="81" t="s">
        <v>18</v>
      </c>
      <c r="D32" s="87">
        <v>2048.9777213350767</v>
      </c>
      <c r="E32" s="87">
        <v>2175.8263222066307</v>
      </c>
      <c r="F32" s="88">
        <v>106.19082382159341</v>
      </c>
      <c r="G32" s="5"/>
      <c r="H32" s="87">
        <v>2427.4842716107451</v>
      </c>
      <c r="I32" s="87">
        <v>2322.3744606604328</v>
      </c>
      <c r="J32" s="87">
        <v>2175.8263222066307</v>
      </c>
      <c r="K32" s="87">
        <v>2079.5820733326082</v>
      </c>
      <c r="L32" s="87">
        <v>1973.2201866066359</v>
      </c>
      <c r="M32" s="87">
        <v>2074.9321167285489</v>
      </c>
      <c r="O32" s="58"/>
      <c r="P32" s="72">
        <v>111.5660862650514</v>
      </c>
      <c r="Q32" s="87">
        <v>106.73528658781824</v>
      </c>
      <c r="R32" s="87">
        <v>100</v>
      </c>
      <c r="S32" s="87">
        <v>95.576657571804006</v>
      </c>
      <c r="T32" s="87">
        <v>90.688313054576881</v>
      </c>
      <c r="U32" s="72">
        <v>95.362947655869917</v>
      </c>
      <c r="V32" s="3"/>
      <c r="W32" s="3"/>
      <c r="AG32" s="53"/>
    </row>
    <row r="33" spans="1:33" ht="11.25" customHeight="1">
      <c r="A33" s="53" t="s">
        <v>78</v>
      </c>
      <c r="B33" s="68" t="s">
        <v>23</v>
      </c>
      <c r="C33" s="81" t="s">
        <v>18</v>
      </c>
      <c r="D33" s="87">
        <v>1473.6146697815605</v>
      </c>
      <c r="E33" s="87">
        <v>1569.0872414921675</v>
      </c>
      <c r="F33" s="88">
        <v>106.47880166154692</v>
      </c>
      <c r="G33" s="5"/>
      <c r="H33" s="87">
        <v>1769.015952916629</v>
      </c>
      <c r="I33" s="87">
        <v>1678.8857177779801</v>
      </c>
      <c r="J33" s="87">
        <v>1569.0872414921675</v>
      </c>
      <c r="K33" s="87">
        <v>1494.3399415752692</v>
      </c>
      <c r="L33" s="87">
        <v>1417.6066038215447</v>
      </c>
      <c r="M33" s="87">
        <v>1539.2878859009911</v>
      </c>
      <c r="O33" s="58"/>
      <c r="P33" s="72">
        <v>112.74172054540024</v>
      </c>
      <c r="Q33" s="87">
        <v>106.99760175102797</v>
      </c>
      <c r="R33" s="87">
        <v>100</v>
      </c>
      <c r="S33" s="87">
        <v>95.236255962044837</v>
      </c>
      <c r="T33" s="87">
        <v>90.345939112565333</v>
      </c>
      <c r="U33" s="72">
        <v>98.100847753829299</v>
      </c>
      <c r="V33" s="3"/>
      <c r="W33" s="3"/>
      <c r="AG33" s="53"/>
    </row>
    <row r="34" spans="1:33" ht="11.25" customHeight="1">
      <c r="A34" s="53" t="s">
        <v>78</v>
      </c>
      <c r="B34" s="68" t="s">
        <v>22</v>
      </c>
      <c r="C34" s="81" t="s">
        <v>18</v>
      </c>
      <c r="D34" s="87">
        <v>138.89487242190035</v>
      </c>
      <c r="E34" s="87">
        <v>139.13454226234361</v>
      </c>
      <c r="F34" s="88">
        <v>100.17255485120809</v>
      </c>
      <c r="G34" s="5"/>
      <c r="H34" s="87">
        <v>148.91711284408413</v>
      </c>
      <c r="I34" s="87">
        <v>146.92796675634705</v>
      </c>
      <c r="J34" s="87">
        <v>139.13454226234361</v>
      </c>
      <c r="K34" s="87">
        <v>135.29341354834395</v>
      </c>
      <c r="L34" s="87">
        <v>129.36521108073964</v>
      </c>
      <c r="M34" s="87">
        <v>115.91356246144449</v>
      </c>
      <c r="O34" s="58"/>
      <c r="P34" s="72">
        <v>107.03101503241021</v>
      </c>
      <c r="Q34" s="87">
        <v>105.60135848889965</v>
      </c>
      <c r="R34" s="87">
        <v>100</v>
      </c>
      <c r="S34" s="87">
        <v>97.23927024048632</v>
      </c>
      <c r="T34" s="87">
        <v>92.978500505515356</v>
      </c>
      <c r="U34" s="72">
        <v>83.310413486598407</v>
      </c>
      <c r="V34" s="3"/>
      <c r="W34" s="3"/>
      <c r="AG34" s="53"/>
    </row>
    <row r="35" spans="1:33" s="6" customFormat="1" ht="11.25" customHeight="1">
      <c r="A35" s="53" t="s">
        <v>78</v>
      </c>
      <c r="B35" s="67" t="s">
        <v>21</v>
      </c>
      <c r="C35" s="84" t="s">
        <v>18</v>
      </c>
      <c r="D35" s="85">
        <v>436.4681791316159</v>
      </c>
      <c r="E35" s="85">
        <v>467.60453845211953</v>
      </c>
      <c r="F35" s="86">
        <v>107.13370660432832</v>
      </c>
      <c r="G35" s="5"/>
      <c r="H35" s="85">
        <v>509.55120585003192</v>
      </c>
      <c r="I35" s="85">
        <v>496.56077612610568</v>
      </c>
      <c r="J35" s="85">
        <v>467.60453845211953</v>
      </c>
      <c r="K35" s="85">
        <v>449.94871820899499</v>
      </c>
      <c r="L35" s="85">
        <v>426.2483717043516</v>
      </c>
      <c r="M35" s="85">
        <v>419.73066836611326</v>
      </c>
      <c r="N35" s="1"/>
      <c r="O35" s="58"/>
      <c r="P35" s="71">
        <v>108.97054325793451</v>
      </c>
      <c r="Q35" s="85">
        <v>106.19246292387112</v>
      </c>
      <c r="R35" s="85">
        <v>100</v>
      </c>
      <c r="S35" s="85">
        <v>96.224198271990815</v>
      </c>
      <c r="T35" s="85">
        <v>91.155738803419979</v>
      </c>
      <c r="U35" s="71">
        <v>89.761889342545743</v>
      </c>
      <c r="V35" s="5"/>
      <c r="W35" s="5"/>
      <c r="AG35" s="53"/>
    </row>
    <row r="36" spans="1:33" ht="11.25" customHeight="1">
      <c r="A36" s="53" t="s">
        <v>78</v>
      </c>
      <c r="B36" s="68" t="s">
        <v>20</v>
      </c>
      <c r="C36" s="81" t="s">
        <v>18</v>
      </c>
      <c r="D36" s="87">
        <v>232.59543606627813</v>
      </c>
      <c r="E36" s="87">
        <v>106.8077559517601</v>
      </c>
      <c r="F36" s="88">
        <v>45.919970640062431</v>
      </c>
      <c r="G36" s="5"/>
      <c r="H36" s="87">
        <v>147.4804372834285</v>
      </c>
      <c r="I36" s="87">
        <v>117.3099760440125</v>
      </c>
      <c r="J36" s="87">
        <v>106.8077559517601</v>
      </c>
      <c r="K36" s="87">
        <v>51.418812521544169</v>
      </c>
      <c r="L36" s="87">
        <v>7.8514538972037826</v>
      </c>
      <c r="M36" s="87">
        <v>136.60711154293654</v>
      </c>
      <c r="O36" s="58"/>
      <c r="P36" s="72">
        <v>138.08026951716715</v>
      </c>
      <c r="Q36" s="87">
        <v>109.83282533994606</v>
      </c>
      <c r="R36" s="87">
        <v>100</v>
      </c>
      <c r="S36" s="87">
        <v>48.141459450536125</v>
      </c>
      <c r="T36" s="87">
        <v>7.3510147528517544</v>
      </c>
      <c r="U36" s="72">
        <v>127.8999922108984</v>
      </c>
      <c r="V36" s="3"/>
      <c r="W36" s="3"/>
      <c r="AG36" s="53"/>
    </row>
    <row r="37" spans="1:33" s="6" customFormat="1" ht="11.25" customHeight="1">
      <c r="A37" s="53" t="s">
        <v>78</v>
      </c>
      <c r="B37" s="67" t="s">
        <v>19</v>
      </c>
      <c r="C37" s="84" t="s">
        <v>18</v>
      </c>
      <c r="D37" s="85">
        <v>93.70056364437778</v>
      </c>
      <c r="E37" s="85">
        <v>-32.326786310583515</v>
      </c>
      <c r="F37" s="86"/>
      <c r="G37" s="5"/>
      <c r="H37" s="85">
        <v>-1.4366755606556296</v>
      </c>
      <c r="I37" s="85">
        <v>-29.617990712334546</v>
      </c>
      <c r="J37" s="85">
        <v>-32.326786310583515</v>
      </c>
      <c r="K37" s="85">
        <v>-83.87460102679978</v>
      </c>
      <c r="L37" s="85">
        <v>-121.51375718353586</v>
      </c>
      <c r="M37" s="85">
        <v>20.693549081492051</v>
      </c>
      <c r="N37" s="1"/>
      <c r="O37" s="58"/>
      <c r="P37" s="71"/>
      <c r="Q37" s="85"/>
      <c r="R37" s="85"/>
      <c r="S37" s="85"/>
      <c r="T37" s="85"/>
      <c r="U37" s="71"/>
      <c r="V37" s="5"/>
      <c r="W37" s="5"/>
      <c r="AG37" s="53"/>
    </row>
    <row r="38" spans="1:33" ht="11.25" customHeight="1">
      <c r="A38" s="53" t="s">
        <v>78</v>
      </c>
      <c r="B38" s="68" t="s">
        <v>17</v>
      </c>
      <c r="C38" s="83" t="s">
        <v>16</v>
      </c>
      <c r="D38" s="87">
        <v>4.4282229601346597</v>
      </c>
      <c r="E38" s="87">
        <v>-1.5304995579243801</v>
      </c>
      <c r="F38" s="88"/>
      <c r="G38" s="5"/>
      <c r="H38" s="87">
        <v>-6.1597401416889908E-2</v>
      </c>
      <c r="I38" s="87">
        <v>-1.3086220189190385</v>
      </c>
      <c r="J38" s="87">
        <v>-1.5304995579243801</v>
      </c>
      <c r="K38" s="87">
        <v>-4.1540313469361081</v>
      </c>
      <c r="L38" s="87">
        <v>-6.4236669530195627</v>
      </c>
      <c r="M38" s="87">
        <v>1.1031223858929124</v>
      </c>
      <c r="O38" s="58"/>
      <c r="P38" s="72"/>
      <c r="Q38" s="87"/>
      <c r="R38" s="87"/>
      <c r="S38" s="87"/>
      <c r="T38" s="87"/>
      <c r="U38" s="72"/>
      <c r="V38" s="3"/>
      <c r="W38" s="3"/>
      <c r="X38" s="239" t="s">
        <v>138</v>
      </c>
      <c r="Y38" s="240"/>
      <c r="Z38" s="240"/>
      <c r="AA38" s="240"/>
      <c r="AB38" s="240"/>
      <c r="AC38" s="240"/>
      <c r="AD38" s="240"/>
      <c r="AE38" s="240"/>
      <c r="AF38" s="240"/>
      <c r="AG38" s="53"/>
    </row>
    <row r="39" spans="1:33" ht="12" customHeight="1">
      <c r="A39" s="53" t="s">
        <v>78</v>
      </c>
      <c r="B39" s="10" t="s">
        <v>198</v>
      </c>
      <c r="C39" s="9"/>
      <c r="D39" s="15">
        <v>1.8193951545910803E-2</v>
      </c>
      <c r="E39" s="15">
        <v>0</v>
      </c>
      <c r="F39" s="16"/>
      <c r="G39" s="16"/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/>
      <c r="P39" s="3"/>
      <c r="Q39" s="3"/>
      <c r="R39" s="3"/>
      <c r="S39" s="3"/>
      <c r="T39" s="3"/>
      <c r="U39" s="3"/>
      <c r="V39" s="3"/>
      <c r="W39" s="3"/>
      <c r="X39" s="108" t="s">
        <v>200</v>
      </c>
      <c r="AG39" s="53"/>
    </row>
    <row r="40" spans="1:33" ht="15" customHeight="1">
      <c r="A40" s="53" t="s">
        <v>188</v>
      </c>
      <c r="B40" s="60" t="s">
        <v>115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3"/>
    </row>
    <row r="41" spans="1:33" ht="14.25" customHeight="1">
      <c r="A41" s="53" t="s">
        <v>188</v>
      </c>
      <c r="B41" s="60" t="s">
        <v>116</v>
      </c>
      <c r="C41" s="57"/>
      <c r="D41" s="59" t="s">
        <v>97</v>
      </c>
      <c r="E41" s="59" t="s">
        <v>97</v>
      </c>
      <c r="F41" s="59"/>
      <c r="G41" s="59"/>
      <c r="H41" s="59" t="s">
        <v>114</v>
      </c>
      <c r="I41" s="59" t="s">
        <v>131</v>
      </c>
      <c r="J41" s="59" t="s">
        <v>113</v>
      </c>
      <c r="K41" s="59" t="s">
        <v>130</v>
      </c>
      <c r="L41" s="59" t="s">
        <v>129</v>
      </c>
      <c r="M41" s="59" t="s">
        <v>132</v>
      </c>
      <c r="N41" s="59"/>
      <c r="O41" s="56"/>
      <c r="P41" s="56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3"/>
    </row>
    <row r="42" spans="1:33" ht="15" customHeight="1">
      <c r="A42" s="53" t="s">
        <v>188</v>
      </c>
      <c r="B42" s="65" t="s">
        <v>188</v>
      </c>
      <c r="C42" s="74"/>
      <c r="D42" s="101">
        <v>2025</v>
      </c>
      <c r="E42" s="101" t="s">
        <v>196</v>
      </c>
      <c r="F42" s="237" t="s">
        <v>197</v>
      </c>
      <c r="G42" s="102"/>
      <c r="H42" s="95"/>
      <c r="I42" s="95"/>
      <c r="J42" s="95" t="s">
        <v>196</v>
      </c>
      <c r="K42" s="95"/>
      <c r="L42" s="95"/>
      <c r="M42" s="95"/>
      <c r="N42" s="58"/>
      <c r="O42" s="58"/>
      <c r="P42" s="95"/>
      <c r="Q42" s="95"/>
      <c r="R42" s="95" t="s">
        <v>127</v>
      </c>
      <c r="S42" s="95"/>
      <c r="T42" s="95"/>
      <c r="U42" s="95"/>
      <c r="V42" s="20"/>
      <c r="W42" s="20"/>
      <c r="AG42" s="4"/>
    </row>
    <row r="43" spans="1:33" ht="23.25" customHeight="1">
      <c r="A43" s="53" t="s">
        <v>188</v>
      </c>
      <c r="B43" s="66" t="s">
        <v>65</v>
      </c>
      <c r="C43" s="74" t="s">
        <v>46</v>
      </c>
      <c r="D43" s="101"/>
      <c r="E43" s="234"/>
      <c r="F43" s="238"/>
      <c r="G43" s="102"/>
      <c r="H43" s="103" t="s">
        <v>64</v>
      </c>
      <c r="I43" s="101" t="s">
        <v>63</v>
      </c>
      <c r="J43" s="130" t="s">
        <v>62</v>
      </c>
      <c r="K43" s="101" t="s">
        <v>61</v>
      </c>
      <c r="L43" s="101" t="s">
        <v>60</v>
      </c>
      <c r="M43" s="121" t="s">
        <v>59</v>
      </c>
      <c r="N43" s="107"/>
      <c r="O43" s="58"/>
      <c r="P43" s="104" t="s">
        <v>64</v>
      </c>
      <c r="Q43" s="101" t="s">
        <v>63</v>
      </c>
      <c r="R43" s="130" t="s">
        <v>62</v>
      </c>
      <c r="S43" s="101" t="s">
        <v>61</v>
      </c>
      <c r="T43" s="101" t="s">
        <v>60</v>
      </c>
      <c r="U43" s="104" t="s">
        <v>59</v>
      </c>
      <c r="V43" s="20"/>
      <c r="W43" s="20"/>
      <c r="AG43" s="4"/>
    </row>
    <row r="44" spans="1:33" ht="12">
      <c r="A44" s="53" t="s">
        <v>188</v>
      </c>
      <c r="B44" s="6" t="s">
        <v>8</v>
      </c>
      <c r="C44" s="75" t="s">
        <v>7</v>
      </c>
      <c r="D44" s="76">
        <v>5500</v>
      </c>
      <c r="E44" s="76">
        <v>5500</v>
      </c>
      <c r="F44" s="76"/>
      <c r="G44" s="24"/>
      <c r="H44" s="94">
        <v>6500</v>
      </c>
      <c r="I44" s="94">
        <v>6000</v>
      </c>
      <c r="J44" s="94">
        <v>5500</v>
      </c>
      <c r="K44" s="94">
        <v>5000</v>
      </c>
      <c r="L44" s="94">
        <v>4500</v>
      </c>
      <c r="M44" s="94">
        <v>5500</v>
      </c>
      <c r="N44" s="2"/>
      <c r="O44" s="58"/>
      <c r="P44" s="19">
        <v>118.18181818181819</v>
      </c>
      <c r="Q44" s="96">
        <v>109.09090909090908</v>
      </c>
      <c r="R44" s="96">
        <v>100</v>
      </c>
      <c r="S44" s="96">
        <v>90.909090909090907</v>
      </c>
      <c r="T44" s="96">
        <v>81.818181818181827</v>
      </c>
      <c r="U44" s="19">
        <v>100</v>
      </c>
      <c r="V44" s="25"/>
      <c r="W44" s="25"/>
      <c r="AG44" s="4"/>
    </row>
    <row r="45" spans="1:33" ht="6" customHeight="1">
      <c r="A45" s="53" t="s">
        <v>188</v>
      </c>
      <c r="B45" s="6"/>
      <c r="C45" s="75"/>
      <c r="D45" s="77"/>
      <c r="E45" s="77"/>
      <c r="F45" s="76"/>
      <c r="G45" s="24"/>
      <c r="H45" s="77"/>
      <c r="I45" s="77"/>
      <c r="J45" s="77"/>
      <c r="K45" s="77"/>
      <c r="L45" s="77"/>
      <c r="M45" s="77"/>
      <c r="O45" s="58"/>
      <c r="P45" s="25"/>
      <c r="Q45" s="97"/>
      <c r="R45" s="97"/>
      <c r="S45" s="97"/>
      <c r="T45" s="97"/>
      <c r="U45" s="25"/>
      <c r="V45" s="25"/>
      <c r="W45" s="25"/>
      <c r="AG45" s="4"/>
    </row>
    <row r="46" spans="1:33" ht="6" customHeight="1">
      <c r="A46" s="53" t="s">
        <v>188</v>
      </c>
      <c r="B46" s="6"/>
      <c r="C46" s="78"/>
      <c r="D46" s="77"/>
      <c r="E46" s="77"/>
      <c r="F46" s="77"/>
      <c r="G46" s="54"/>
      <c r="H46" s="77"/>
      <c r="I46" s="77"/>
      <c r="J46" s="77"/>
      <c r="K46" s="77"/>
      <c r="L46" s="77"/>
      <c r="M46" s="77"/>
      <c r="O46" s="58"/>
      <c r="P46" s="26"/>
      <c r="Q46" s="98"/>
      <c r="R46" s="98"/>
      <c r="S46" s="98"/>
      <c r="T46" s="98"/>
      <c r="U46" s="26"/>
      <c r="V46" s="25"/>
      <c r="W46" s="25"/>
      <c r="AG46" s="4"/>
    </row>
    <row r="47" spans="1:33" ht="11.25" customHeight="1">
      <c r="A47" s="53" t="s">
        <v>188</v>
      </c>
      <c r="B47" s="6" t="s">
        <v>71</v>
      </c>
      <c r="C47" s="75" t="s">
        <v>70</v>
      </c>
      <c r="D47" s="79">
        <v>1</v>
      </c>
      <c r="E47" s="79">
        <v>1</v>
      </c>
      <c r="F47" s="80"/>
      <c r="G47" s="5"/>
      <c r="H47" s="79">
        <v>1</v>
      </c>
      <c r="I47" s="79">
        <v>1</v>
      </c>
      <c r="J47" s="79">
        <v>1</v>
      </c>
      <c r="K47" s="79">
        <v>1</v>
      </c>
      <c r="L47" s="79">
        <v>1</v>
      </c>
      <c r="M47" s="79">
        <v>5</v>
      </c>
      <c r="N47" s="6"/>
      <c r="O47" s="58"/>
      <c r="P47" s="26">
        <v>100</v>
      </c>
      <c r="Q47" s="98">
        <v>100</v>
      </c>
      <c r="R47" s="98">
        <v>100</v>
      </c>
      <c r="S47" s="98">
        <v>100</v>
      </c>
      <c r="T47" s="98">
        <v>100</v>
      </c>
      <c r="U47" s="26">
        <v>500</v>
      </c>
      <c r="V47" s="11"/>
      <c r="W47" s="11"/>
      <c r="AG47" s="4"/>
    </row>
    <row r="48" spans="1:33" ht="11.25" customHeight="1">
      <c r="A48" s="53" t="s">
        <v>188</v>
      </c>
      <c r="B48" s="67" t="s">
        <v>45</v>
      </c>
      <c r="C48" s="81"/>
      <c r="D48" s="82"/>
      <c r="E48" s="82"/>
      <c r="F48" s="83"/>
      <c r="H48" s="82"/>
      <c r="I48" s="82"/>
      <c r="J48" s="82"/>
      <c r="K48" s="82"/>
      <c r="L48" s="82"/>
      <c r="M48" s="82"/>
      <c r="O48" s="58"/>
      <c r="P48" s="70"/>
      <c r="Q48" s="82"/>
      <c r="R48" s="82"/>
      <c r="S48" s="82"/>
      <c r="T48" s="82"/>
      <c r="U48" s="70"/>
      <c r="V48" s="23"/>
      <c r="W48" s="23"/>
      <c r="AG48" s="4"/>
    </row>
    <row r="49" spans="1:33" s="6" customFormat="1" ht="11.25" customHeight="1">
      <c r="A49" s="53" t="s">
        <v>188</v>
      </c>
      <c r="B49" s="67" t="s">
        <v>44</v>
      </c>
      <c r="C49" s="84" t="s">
        <v>18</v>
      </c>
      <c r="D49" s="85">
        <v>1558.4572593717628</v>
      </c>
      <c r="E49" s="85">
        <v>1624.1105134206705</v>
      </c>
      <c r="F49" s="86">
        <v>104.21270802610098</v>
      </c>
      <c r="G49" s="5"/>
      <c r="H49" s="85">
        <v>1801.4308231230318</v>
      </c>
      <c r="I49" s="85">
        <v>1714.750405545703</v>
      </c>
      <c r="J49" s="85">
        <v>1624.1105134206705</v>
      </c>
      <c r="K49" s="85">
        <v>1550.8205657093156</v>
      </c>
      <c r="L49" s="85">
        <v>1452.6797474566592</v>
      </c>
      <c r="M49" s="85">
        <v>1525.6361146620623</v>
      </c>
      <c r="N49" s="1"/>
      <c r="O49" s="58"/>
      <c r="P49" s="71">
        <v>110.91799531110065</v>
      </c>
      <c r="Q49" s="85">
        <v>105.58089436501021</v>
      </c>
      <c r="R49" s="85">
        <v>100</v>
      </c>
      <c r="S49" s="85">
        <v>95.487379269715277</v>
      </c>
      <c r="T49" s="85">
        <v>89.444636645880266</v>
      </c>
      <c r="U49" s="71">
        <v>93.936718102316604</v>
      </c>
      <c r="V49" s="5"/>
      <c r="W49" s="5"/>
      <c r="AG49" s="4"/>
    </row>
    <row r="50" spans="1:33" ht="11.25" customHeight="1">
      <c r="A50" s="53" t="s">
        <v>188</v>
      </c>
      <c r="B50" s="68" t="s">
        <v>43</v>
      </c>
      <c r="C50" s="81" t="s">
        <v>18</v>
      </c>
      <c r="D50" s="87">
        <v>147.62</v>
      </c>
      <c r="E50" s="87">
        <v>147.62</v>
      </c>
      <c r="F50" s="88">
        <v>100</v>
      </c>
      <c r="G50" s="5"/>
      <c r="H50" s="87">
        <v>147.62</v>
      </c>
      <c r="I50" s="87">
        <v>147.62</v>
      </c>
      <c r="J50" s="87">
        <v>147.62</v>
      </c>
      <c r="K50" s="87">
        <v>147.62</v>
      </c>
      <c r="L50" s="87">
        <v>147.62</v>
      </c>
      <c r="M50" s="87">
        <v>147.62</v>
      </c>
      <c r="O50" s="58"/>
      <c r="P50" s="72">
        <v>100</v>
      </c>
      <c r="Q50" s="87">
        <v>100</v>
      </c>
      <c r="R50" s="87">
        <v>100</v>
      </c>
      <c r="S50" s="87">
        <v>100</v>
      </c>
      <c r="T50" s="87">
        <v>100</v>
      </c>
      <c r="U50" s="72">
        <v>100</v>
      </c>
      <c r="V50" s="3"/>
      <c r="W50" s="3"/>
      <c r="AG50" s="4"/>
    </row>
    <row r="51" spans="1:33" ht="11.25" customHeight="1">
      <c r="A51" s="53" t="s">
        <v>188</v>
      </c>
      <c r="B51" s="68" t="s">
        <v>42</v>
      </c>
      <c r="C51" s="81" t="s">
        <v>18</v>
      </c>
      <c r="D51" s="87">
        <v>414.24469029274411</v>
      </c>
      <c r="E51" s="87">
        <v>440.0271514291382</v>
      </c>
      <c r="F51" s="88">
        <v>106.22396900686253</v>
      </c>
      <c r="G51" s="5"/>
      <c r="H51" s="87">
        <v>527.10515866504761</v>
      </c>
      <c r="I51" s="87">
        <v>484.71796460446643</v>
      </c>
      <c r="J51" s="87">
        <v>440.0271514291382</v>
      </c>
      <c r="K51" s="87">
        <v>395.33633825381003</v>
      </c>
      <c r="L51" s="87">
        <v>350.64552507848185</v>
      </c>
      <c r="M51" s="87">
        <v>440.0271514291382</v>
      </c>
      <c r="O51" s="58"/>
      <c r="P51" s="72">
        <v>119.78923503995011</v>
      </c>
      <c r="Q51" s="87">
        <v>110.15637626682344</v>
      </c>
      <c r="R51" s="87">
        <v>100</v>
      </c>
      <c r="S51" s="87">
        <v>89.843623733176571</v>
      </c>
      <c r="T51" s="87">
        <v>79.687247466353156</v>
      </c>
      <c r="U51" s="72">
        <v>100</v>
      </c>
      <c r="V51" s="3"/>
      <c r="W51" s="3"/>
      <c r="AG51" s="4"/>
    </row>
    <row r="52" spans="1:33" ht="11.25" customHeight="1">
      <c r="A52" s="53" t="s">
        <v>188</v>
      </c>
      <c r="B52" s="68" t="s">
        <v>41</v>
      </c>
      <c r="C52" s="81" t="s">
        <v>18</v>
      </c>
      <c r="D52" s="87">
        <v>156.76329000000001</v>
      </c>
      <c r="E52" s="87">
        <v>156.87039000000001</v>
      </c>
      <c r="F52" s="88">
        <v>100.06831956639847</v>
      </c>
      <c r="G52" s="5"/>
      <c r="H52" s="87">
        <v>156.87039000000001</v>
      </c>
      <c r="I52" s="87">
        <v>156.87039000000001</v>
      </c>
      <c r="J52" s="87">
        <v>156.87039000000001</v>
      </c>
      <c r="K52" s="87">
        <v>156.87039000000001</v>
      </c>
      <c r="L52" s="87">
        <v>156.87039000000001</v>
      </c>
      <c r="M52" s="87">
        <v>156.87039000000001</v>
      </c>
      <c r="O52" s="58"/>
      <c r="P52" s="72">
        <v>100</v>
      </c>
      <c r="Q52" s="87">
        <v>100</v>
      </c>
      <c r="R52" s="87">
        <v>100</v>
      </c>
      <c r="S52" s="87">
        <v>100</v>
      </c>
      <c r="T52" s="87">
        <v>100</v>
      </c>
      <c r="U52" s="72">
        <v>100</v>
      </c>
      <c r="V52" s="3"/>
      <c r="W52" s="3"/>
      <c r="AG52" s="4"/>
    </row>
    <row r="53" spans="1:33" ht="11.25" customHeight="1">
      <c r="A53" s="53" t="s">
        <v>188</v>
      </c>
      <c r="B53" s="68" t="s">
        <v>40</v>
      </c>
      <c r="C53" s="81" t="s">
        <v>18</v>
      </c>
      <c r="D53" s="87">
        <v>443.05606187025813</v>
      </c>
      <c r="E53" s="87">
        <v>461.29680979672247</v>
      </c>
      <c r="F53" s="88">
        <v>104.11702930989483</v>
      </c>
      <c r="G53" s="5"/>
      <c r="H53" s="87">
        <v>503.64448150801468</v>
      </c>
      <c r="I53" s="87">
        <v>482.4706456523686</v>
      </c>
      <c r="J53" s="87">
        <v>461.29680979672247</v>
      </c>
      <c r="K53" s="87">
        <v>440.12297394107634</v>
      </c>
      <c r="L53" s="87">
        <v>418.94913808543026</v>
      </c>
      <c r="M53" s="87">
        <v>461.29680979672247</v>
      </c>
      <c r="O53" s="58"/>
      <c r="P53" s="72">
        <v>109.18013539481302</v>
      </c>
      <c r="Q53" s="87">
        <v>104.59006769740651</v>
      </c>
      <c r="R53" s="87">
        <v>100</v>
      </c>
      <c r="S53" s="87">
        <v>95.409932302593475</v>
      </c>
      <c r="T53" s="87">
        <v>90.819864605186979</v>
      </c>
      <c r="U53" s="72">
        <v>100</v>
      </c>
      <c r="V53" s="3"/>
      <c r="W53" s="3"/>
      <c r="AG53" s="4"/>
    </row>
    <row r="54" spans="1:33" ht="11.25" customHeight="1">
      <c r="A54" s="53" t="s">
        <v>188</v>
      </c>
      <c r="B54" s="68" t="s">
        <v>39</v>
      </c>
      <c r="C54" s="81" t="s">
        <v>18</v>
      </c>
      <c r="D54" s="87">
        <v>16.105320000000003</v>
      </c>
      <c r="E54" s="87">
        <v>12.078990000000001</v>
      </c>
      <c r="F54" s="88">
        <v>75</v>
      </c>
      <c r="G54" s="5"/>
      <c r="H54" s="87">
        <v>13.17708</v>
      </c>
      <c r="I54" s="87">
        <v>13.177080000000002</v>
      </c>
      <c r="J54" s="87">
        <v>12.078990000000001</v>
      </c>
      <c r="K54" s="87">
        <v>10.980900000000002</v>
      </c>
      <c r="L54" s="87">
        <v>9.882810000000001</v>
      </c>
      <c r="M54" s="87">
        <v>12.078990000000001</v>
      </c>
      <c r="O54" s="58"/>
      <c r="P54" s="72">
        <v>109.09090909090908</v>
      </c>
      <c r="Q54" s="87">
        <v>109.09090909090911</v>
      </c>
      <c r="R54" s="87">
        <v>100</v>
      </c>
      <c r="S54" s="87">
        <v>90.909090909090921</v>
      </c>
      <c r="T54" s="87">
        <v>81.818181818181827</v>
      </c>
      <c r="U54" s="72">
        <v>100</v>
      </c>
      <c r="V54" s="3"/>
      <c r="W54" s="3"/>
      <c r="AG54" s="4"/>
    </row>
    <row r="55" spans="1:33" ht="11.25" customHeight="1">
      <c r="A55" s="53" t="s">
        <v>188</v>
      </c>
      <c r="B55" s="68" t="s">
        <v>38</v>
      </c>
      <c r="C55" s="81" t="s">
        <v>18</v>
      </c>
      <c r="D55" s="87">
        <v>355.1803944312</v>
      </c>
      <c r="E55" s="87">
        <v>379.08540112018221</v>
      </c>
      <c r="F55" s="88">
        <v>106.73038463377593</v>
      </c>
      <c r="G55" s="5"/>
      <c r="H55" s="87">
        <v>421.23338251381597</v>
      </c>
      <c r="I55" s="87">
        <v>400.41177513084767</v>
      </c>
      <c r="J55" s="87">
        <v>379.08540112018221</v>
      </c>
      <c r="K55" s="87">
        <v>374.655577480435</v>
      </c>
      <c r="L55" s="87">
        <v>345.89408866724114</v>
      </c>
      <c r="M55" s="87">
        <v>284.9247908555306</v>
      </c>
      <c r="O55" s="58"/>
      <c r="P55" s="72">
        <v>111.11833409281606</v>
      </c>
      <c r="Q55" s="87">
        <v>105.62574394784048</v>
      </c>
      <c r="R55" s="87">
        <v>100</v>
      </c>
      <c r="S55" s="87">
        <v>98.831444411560753</v>
      </c>
      <c r="T55" s="87">
        <v>91.244370699883959</v>
      </c>
      <c r="U55" s="72">
        <v>75.16110881969847</v>
      </c>
      <c r="V55" s="3"/>
      <c r="W55" s="3"/>
      <c r="AG55" s="4"/>
    </row>
    <row r="56" spans="1:33" ht="11.25" customHeight="1">
      <c r="A56" s="53" t="s">
        <v>188</v>
      </c>
      <c r="B56" s="68" t="s">
        <v>11</v>
      </c>
      <c r="C56" s="81" t="s">
        <v>18</v>
      </c>
      <c r="D56" s="87">
        <v>0</v>
      </c>
      <c r="E56" s="87">
        <v>0</v>
      </c>
      <c r="F56" s="88"/>
      <c r="G56" s="5"/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O56" s="58"/>
      <c r="P56" s="72"/>
      <c r="Q56" s="87"/>
      <c r="R56" s="87"/>
      <c r="S56" s="87"/>
      <c r="T56" s="87"/>
      <c r="U56" s="72"/>
      <c r="V56" s="3"/>
      <c r="W56" s="3"/>
      <c r="AG56" s="4"/>
    </row>
    <row r="57" spans="1:33" s="6" customFormat="1" ht="11.25" customHeight="1">
      <c r="A57" s="53" t="s">
        <v>188</v>
      </c>
      <c r="B57" s="67" t="s">
        <v>37</v>
      </c>
      <c r="C57" s="84" t="s">
        <v>18</v>
      </c>
      <c r="D57" s="85">
        <v>394.55475882794195</v>
      </c>
      <c r="E57" s="85">
        <v>422.61294834227169</v>
      </c>
      <c r="F57" s="86">
        <v>107.11135498597937</v>
      </c>
      <c r="G57" s="5"/>
      <c r="H57" s="85">
        <v>473.7251983993653</v>
      </c>
      <c r="I57" s="85">
        <v>448.0958103749316</v>
      </c>
      <c r="J57" s="85">
        <v>422.61294834227169</v>
      </c>
      <c r="K57" s="85">
        <v>410.29742972933803</v>
      </c>
      <c r="L57" s="85">
        <v>381.94065351429037</v>
      </c>
      <c r="M57" s="85">
        <v>299.4255358340402</v>
      </c>
      <c r="N57" s="1"/>
      <c r="O57" s="58"/>
      <c r="P57" s="71">
        <v>112.09434075732534</v>
      </c>
      <c r="Q57" s="85">
        <v>106.02983465902267</v>
      </c>
      <c r="R57" s="85">
        <v>100</v>
      </c>
      <c r="S57" s="85">
        <v>97.085863397881639</v>
      </c>
      <c r="T57" s="85">
        <v>90.375994160254393</v>
      </c>
      <c r="U57" s="71">
        <v>70.851008472068216</v>
      </c>
      <c r="V57" s="5"/>
      <c r="W57" s="5"/>
      <c r="AF57" s="1"/>
      <c r="AG57" s="4"/>
    </row>
    <row r="58" spans="1:33" ht="11.25" customHeight="1">
      <c r="A58" s="53" t="s">
        <v>188</v>
      </c>
      <c r="B58" s="68" t="s">
        <v>36</v>
      </c>
      <c r="C58" s="81" t="s">
        <v>18</v>
      </c>
      <c r="D58" s="87">
        <v>169.96915154285247</v>
      </c>
      <c r="E58" s="87">
        <v>183.39671451473782</v>
      </c>
      <c r="F58" s="88">
        <v>107.89999999999999</v>
      </c>
      <c r="G58" s="5"/>
      <c r="H58" s="87">
        <v>210.21512189522844</v>
      </c>
      <c r="I58" s="87">
        <v>196.85893068095643</v>
      </c>
      <c r="J58" s="87">
        <v>183.39671451473782</v>
      </c>
      <c r="K58" s="87">
        <v>176.87474468308577</v>
      </c>
      <c r="L58" s="87">
        <v>162.40513370200844</v>
      </c>
      <c r="M58" s="87">
        <v>117.36418660355444</v>
      </c>
      <c r="O58" s="58"/>
      <c r="P58" s="72">
        <v>114.62316675162438</v>
      </c>
      <c r="Q58" s="87">
        <v>107.34048927857798</v>
      </c>
      <c r="R58" s="87">
        <v>100</v>
      </c>
      <c r="S58" s="87">
        <v>96.443791346584916</v>
      </c>
      <c r="T58" s="87">
        <v>88.554003888089014</v>
      </c>
      <c r="U58" s="72">
        <v>63.99470509278018</v>
      </c>
      <c r="V58" s="3"/>
      <c r="W58" s="3"/>
      <c r="AG58" s="4"/>
    </row>
    <row r="59" spans="1:33" s="6" customFormat="1" ht="11.25" customHeight="1">
      <c r="A59" s="53" t="s">
        <v>188</v>
      </c>
      <c r="B59" s="67" t="s">
        <v>35</v>
      </c>
      <c r="C59" s="84" t="s">
        <v>18</v>
      </c>
      <c r="D59" s="85">
        <v>1953.0120181997047</v>
      </c>
      <c r="E59" s="85">
        <v>2046.7234617629422</v>
      </c>
      <c r="F59" s="86">
        <v>104.79830347637191</v>
      </c>
      <c r="G59" s="5"/>
      <c r="H59" s="85">
        <v>2275.1560215223972</v>
      </c>
      <c r="I59" s="85">
        <v>2162.8462159206347</v>
      </c>
      <c r="J59" s="85">
        <v>2046.7234617629422</v>
      </c>
      <c r="K59" s="85">
        <v>1961.1179954386537</v>
      </c>
      <c r="L59" s="85">
        <v>1834.6204009709497</v>
      </c>
      <c r="M59" s="85">
        <v>1825.0616504961024</v>
      </c>
      <c r="N59" s="1"/>
      <c r="O59" s="58"/>
      <c r="P59" s="71">
        <v>111.1608902730169</v>
      </c>
      <c r="Q59" s="85">
        <v>105.67359276067859</v>
      </c>
      <c r="R59" s="85">
        <v>100</v>
      </c>
      <c r="S59" s="85">
        <v>95.817438558575347</v>
      </c>
      <c r="T59" s="85">
        <v>89.636945842732572</v>
      </c>
      <c r="U59" s="71">
        <v>89.169918877271698</v>
      </c>
      <c r="V59" s="5"/>
      <c r="W59" s="5"/>
      <c r="X59" s="1"/>
      <c r="Y59" s="1"/>
      <c r="Z59" s="1"/>
      <c r="AA59" s="1"/>
      <c r="AB59" s="1"/>
      <c r="AC59" s="1"/>
      <c r="AD59" s="1"/>
      <c r="AE59" s="1"/>
      <c r="AF59" s="1"/>
      <c r="AG59" s="4"/>
    </row>
    <row r="60" spans="1:33" ht="11.25" customHeight="1">
      <c r="A60" s="53" t="s">
        <v>188</v>
      </c>
      <c r="B60" s="68" t="s">
        <v>4</v>
      </c>
      <c r="C60" s="81" t="s">
        <v>18</v>
      </c>
      <c r="D60" s="87">
        <v>309.80437812192167</v>
      </c>
      <c r="E60" s="87">
        <v>325.47875409681342</v>
      </c>
      <c r="F60" s="88">
        <v>105.05944301688442</v>
      </c>
      <c r="G60" s="5"/>
      <c r="H60" s="87">
        <v>390.91569382199265</v>
      </c>
      <c r="I60" s="87">
        <v>363.11499744392768</v>
      </c>
      <c r="J60" s="87">
        <v>325.47875409681342</v>
      </c>
      <c r="K60" s="87">
        <v>297.67805771874839</v>
      </c>
      <c r="L60" s="87">
        <v>269.87736134068348</v>
      </c>
      <c r="M60" s="87">
        <v>334.56311321657915</v>
      </c>
      <c r="O60" s="58"/>
      <c r="P60" s="72">
        <v>120.10482678255401</v>
      </c>
      <c r="Q60" s="87">
        <v>111.56334872042659</v>
      </c>
      <c r="R60" s="87">
        <v>100</v>
      </c>
      <c r="S60" s="87">
        <v>91.458521937872561</v>
      </c>
      <c r="T60" s="87">
        <v>82.917043875745151</v>
      </c>
      <c r="U60" s="72">
        <v>102.79107591675971</v>
      </c>
      <c r="V60" s="3"/>
      <c r="W60" s="3"/>
      <c r="X60" s="239" t="s">
        <v>143</v>
      </c>
      <c r="Y60" s="240"/>
      <c r="Z60" s="240"/>
      <c r="AA60" s="240"/>
      <c r="AB60" s="240"/>
      <c r="AC60" s="240"/>
      <c r="AD60" s="240"/>
      <c r="AE60" s="240"/>
      <c r="AF60" s="240"/>
      <c r="AG60" s="4"/>
    </row>
    <row r="61" spans="1:33" ht="11.25" customHeight="1">
      <c r="A61" s="53" t="s">
        <v>188</v>
      </c>
      <c r="B61" s="68" t="s">
        <v>34</v>
      </c>
      <c r="C61" s="81" t="s">
        <v>18</v>
      </c>
      <c r="D61" s="87">
        <v>1643.207640077783</v>
      </c>
      <c r="E61" s="87">
        <v>1721.2447076661288</v>
      </c>
      <c r="F61" s="88">
        <v>104.74906917939182</v>
      </c>
      <c r="G61" s="5"/>
      <c r="H61" s="87">
        <v>1884.2403277004046</v>
      </c>
      <c r="I61" s="87">
        <v>1799.731218476707</v>
      </c>
      <c r="J61" s="87">
        <v>1721.2447076661288</v>
      </c>
      <c r="K61" s="87">
        <v>1663.4399377199052</v>
      </c>
      <c r="L61" s="87">
        <v>1564.7430396302661</v>
      </c>
      <c r="M61" s="87">
        <v>1490.4985372795231</v>
      </c>
      <c r="O61" s="58"/>
      <c r="P61" s="72">
        <v>109.46963667096963</v>
      </c>
      <c r="Q61" s="87">
        <v>104.55986940503072</v>
      </c>
      <c r="R61" s="87">
        <v>100</v>
      </c>
      <c r="S61" s="87">
        <v>96.641687861768233</v>
      </c>
      <c r="T61" s="87">
        <v>90.907645650915811</v>
      </c>
      <c r="U61" s="72">
        <v>86.59422629688261</v>
      </c>
      <c r="V61" s="3"/>
      <c r="W61" s="3"/>
      <c r="X61" s="108" t="s">
        <v>199</v>
      </c>
      <c r="AG61" s="4"/>
    </row>
    <row r="62" spans="1:33" ht="11.25" customHeight="1">
      <c r="A62" s="53" t="s">
        <v>188</v>
      </c>
      <c r="B62" s="68" t="s">
        <v>33</v>
      </c>
      <c r="C62" s="81" t="s">
        <v>18</v>
      </c>
      <c r="D62" s="87">
        <v>202.77999999999994</v>
      </c>
      <c r="E62" s="87">
        <v>202.77999999999994</v>
      </c>
      <c r="F62" s="88">
        <v>100</v>
      </c>
      <c r="G62" s="5"/>
      <c r="H62" s="87">
        <v>202.77999999999994</v>
      </c>
      <c r="I62" s="87">
        <v>202.77999999999994</v>
      </c>
      <c r="J62" s="87">
        <v>202.77999999999994</v>
      </c>
      <c r="K62" s="87">
        <v>202.77999999999994</v>
      </c>
      <c r="L62" s="87">
        <v>202.77999999999994</v>
      </c>
      <c r="M62" s="87">
        <v>202.77999999999994</v>
      </c>
      <c r="O62" s="58"/>
      <c r="P62" s="72">
        <v>100</v>
      </c>
      <c r="Q62" s="87">
        <v>100</v>
      </c>
      <c r="R62" s="87">
        <v>100</v>
      </c>
      <c r="S62" s="87">
        <v>100</v>
      </c>
      <c r="T62" s="87">
        <v>100</v>
      </c>
      <c r="U62" s="72">
        <v>100</v>
      </c>
      <c r="V62" s="3"/>
      <c r="W62" s="3"/>
      <c r="AG62" s="4"/>
    </row>
    <row r="63" spans="1:33" ht="11.25" customHeight="1">
      <c r="A63" s="53" t="s">
        <v>188</v>
      </c>
      <c r="B63" s="67" t="s">
        <v>32</v>
      </c>
      <c r="C63" s="84" t="s">
        <v>18</v>
      </c>
      <c r="D63" s="85">
        <v>1440.4276400777831</v>
      </c>
      <c r="E63" s="85">
        <v>1518.4647076661288</v>
      </c>
      <c r="F63" s="86">
        <v>105.41763191826365</v>
      </c>
      <c r="G63" s="5"/>
      <c r="H63" s="85">
        <v>1681.4603277004046</v>
      </c>
      <c r="I63" s="85">
        <v>1596.951218476707</v>
      </c>
      <c r="J63" s="85">
        <v>1518.4647076661288</v>
      </c>
      <c r="K63" s="85">
        <v>1460.6599377199052</v>
      </c>
      <c r="L63" s="85">
        <v>1361.9630396302662</v>
      </c>
      <c r="M63" s="85">
        <v>1287.7185372795232</v>
      </c>
      <c r="N63" s="6"/>
      <c r="O63" s="58"/>
      <c r="P63" s="71">
        <v>110.73423828761875</v>
      </c>
      <c r="Q63" s="85">
        <v>105.16880704663933</v>
      </c>
      <c r="R63" s="85">
        <v>100</v>
      </c>
      <c r="S63" s="85">
        <v>96.193209519168263</v>
      </c>
      <c r="T63" s="85">
        <v>89.69342736477526</v>
      </c>
      <c r="U63" s="71">
        <v>84.803981994335516</v>
      </c>
      <c r="V63" s="3"/>
      <c r="W63" s="3"/>
      <c r="AG63" s="4"/>
    </row>
    <row r="64" spans="1:33" s="8" customFormat="1" ht="11.25" customHeight="1">
      <c r="A64" s="53" t="s">
        <v>188</v>
      </c>
      <c r="B64" s="69" t="s">
        <v>31</v>
      </c>
      <c r="C64" s="89" t="s">
        <v>29</v>
      </c>
      <c r="D64" s="90">
        <v>0.26189593455959692</v>
      </c>
      <c r="E64" s="90">
        <v>0.27608449230293253</v>
      </c>
      <c r="F64" s="86">
        <v>105.41763191826365</v>
      </c>
      <c r="G64" s="7"/>
      <c r="H64" s="90">
        <v>0.25868620426160072</v>
      </c>
      <c r="I64" s="90">
        <v>0.26615853641278453</v>
      </c>
      <c r="J64" s="90">
        <v>0.27608449230293253</v>
      </c>
      <c r="K64" s="90">
        <v>0.29213198754398106</v>
      </c>
      <c r="L64" s="90">
        <v>0.30265845325117025</v>
      </c>
      <c r="M64" s="90">
        <v>0.23413064314173149</v>
      </c>
      <c r="O64" s="58"/>
      <c r="P64" s="73">
        <v>93.6982016279851</v>
      </c>
      <c r="Q64" s="99">
        <v>96.404739792752721</v>
      </c>
      <c r="R64" s="99">
        <v>100</v>
      </c>
      <c r="S64" s="99">
        <v>105.8125304710851</v>
      </c>
      <c r="T64" s="99">
        <v>109.62530011250308</v>
      </c>
      <c r="U64" s="73">
        <v>84.803981994335501</v>
      </c>
      <c r="V64" s="3"/>
      <c r="W64" s="22"/>
      <c r="X64" s="1"/>
      <c r="Y64" s="1"/>
      <c r="Z64" s="1"/>
      <c r="AA64" s="1"/>
      <c r="AB64" s="1"/>
      <c r="AC64" s="1"/>
      <c r="AD64" s="1"/>
      <c r="AE64" s="1"/>
      <c r="AF64" s="1"/>
      <c r="AG64" s="4"/>
    </row>
    <row r="65" spans="1:33" s="8" customFormat="1" ht="11.25" customHeight="1">
      <c r="A65" s="53" t="s">
        <v>188</v>
      </c>
      <c r="B65" s="8" t="s">
        <v>30</v>
      </c>
      <c r="C65" s="91" t="s">
        <v>29</v>
      </c>
      <c r="D65" s="132">
        <v>0.156</v>
      </c>
      <c r="E65" s="132">
        <v>0.16500000000000001</v>
      </c>
      <c r="F65" s="80">
        <v>105.76923076923077</v>
      </c>
      <c r="G65" s="7"/>
      <c r="H65" s="132">
        <v>0.16500000000000001</v>
      </c>
      <c r="I65" s="132">
        <v>0.16500000000000001</v>
      </c>
      <c r="J65" s="132">
        <v>0.16500000000000001</v>
      </c>
      <c r="K65" s="132">
        <v>0.16500000000000001</v>
      </c>
      <c r="L65" s="132">
        <v>0.16500000000000001</v>
      </c>
      <c r="M65" s="132">
        <v>0.16500000000000001</v>
      </c>
      <c r="O65" s="58"/>
      <c r="P65" s="22">
        <v>100</v>
      </c>
      <c r="Q65" s="100">
        <v>100</v>
      </c>
      <c r="R65" s="100">
        <v>100</v>
      </c>
      <c r="S65" s="100">
        <v>100</v>
      </c>
      <c r="T65" s="100">
        <v>100</v>
      </c>
      <c r="U65" s="22">
        <v>100</v>
      </c>
      <c r="V65" s="3"/>
      <c r="W65" s="22"/>
      <c r="X65" s="1"/>
      <c r="Y65" s="1"/>
      <c r="Z65" s="1"/>
      <c r="AA65" s="1"/>
      <c r="AB65" s="1"/>
      <c r="AC65" s="1"/>
      <c r="AD65" s="1"/>
      <c r="AE65" s="1"/>
      <c r="AF65" s="1"/>
      <c r="AG65" s="4"/>
    </row>
    <row r="66" spans="1:33" s="6" customFormat="1" ht="11.25" customHeight="1">
      <c r="A66" s="53" t="s">
        <v>188</v>
      </c>
      <c r="B66" s="6" t="s">
        <v>28</v>
      </c>
      <c r="C66" s="75" t="s">
        <v>18</v>
      </c>
      <c r="D66" s="79">
        <v>1370.5843781219216</v>
      </c>
      <c r="E66" s="79">
        <v>1435.7587540968134</v>
      </c>
      <c r="F66" s="80">
        <v>104.75522536337374</v>
      </c>
      <c r="G66" s="5"/>
      <c r="H66" s="79">
        <v>1666.1956938219926</v>
      </c>
      <c r="I66" s="79">
        <v>1555.8949974439277</v>
      </c>
      <c r="J66" s="79">
        <v>1435.7587540968134</v>
      </c>
      <c r="K66" s="79">
        <v>1325.4580577187483</v>
      </c>
      <c r="L66" s="79">
        <v>1215.1573613406833</v>
      </c>
      <c r="M66" s="79">
        <v>1444.843113216579</v>
      </c>
      <c r="N66" s="1"/>
      <c r="O66" s="58"/>
      <c r="P66" s="5">
        <v>116.04983699856591</v>
      </c>
      <c r="Q66" s="79">
        <v>108.36743937686717</v>
      </c>
      <c r="R66" s="79">
        <v>100</v>
      </c>
      <c r="S66" s="79">
        <v>92.31760237830126</v>
      </c>
      <c r="T66" s="79">
        <v>84.635204756602519</v>
      </c>
      <c r="U66" s="5">
        <v>100.63272183393235</v>
      </c>
      <c r="V66" s="5"/>
      <c r="W66" s="5"/>
      <c r="X66" s="1"/>
      <c r="Y66" s="1"/>
      <c r="Z66" s="1"/>
      <c r="AA66" s="1"/>
      <c r="AB66" s="1"/>
      <c r="AC66" s="1"/>
      <c r="AD66" s="1"/>
      <c r="AE66" s="1"/>
      <c r="AF66" s="1"/>
      <c r="AG66" s="4"/>
    </row>
    <row r="67" spans="1:33" ht="11.25" customHeight="1">
      <c r="A67" s="53" t="s">
        <v>188</v>
      </c>
      <c r="B67" s="1" t="s">
        <v>27</v>
      </c>
      <c r="C67" s="78" t="s">
        <v>18</v>
      </c>
      <c r="D67" s="93">
        <v>0</v>
      </c>
      <c r="E67" s="93">
        <v>0</v>
      </c>
      <c r="F67" s="80"/>
      <c r="G67" s="5"/>
      <c r="H67" s="93">
        <v>0</v>
      </c>
      <c r="I67" s="93">
        <v>0</v>
      </c>
      <c r="J67" s="93">
        <v>0</v>
      </c>
      <c r="K67" s="93">
        <v>0</v>
      </c>
      <c r="L67" s="93">
        <v>0</v>
      </c>
      <c r="M67" s="93">
        <v>0</v>
      </c>
      <c r="O67" s="58"/>
      <c r="P67" s="3"/>
      <c r="Q67" s="93"/>
      <c r="R67" s="93"/>
      <c r="S67" s="93"/>
      <c r="T67" s="93"/>
      <c r="U67" s="3"/>
      <c r="V67" s="3"/>
      <c r="W67" s="3"/>
      <c r="AG67" s="4"/>
    </row>
    <row r="68" spans="1:33" ht="11.25" customHeight="1">
      <c r="A68" s="53" t="s">
        <v>188</v>
      </c>
      <c r="B68" s="67" t="s">
        <v>26</v>
      </c>
      <c r="C68" s="81"/>
      <c r="D68" s="87"/>
      <c r="E68" s="87"/>
      <c r="F68" s="86"/>
      <c r="G68" s="5"/>
      <c r="H68" s="87"/>
      <c r="I68" s="87"/>
      <c r="J68" s="87"/>
      <c r="K68" s="87"/>
      <c r="L68" s="87"/>
      <c r="M68" s="87"/>
      <c r="O68" s="58"/>
      <c r="P68" s="72"/>
      <c r="Q68" s="87"/>
      <c r="R68" s="87"/>
      <c r="S68" s="87"/>
      <c r="T68" s="87"/>
      <c r="U68" s="72"/>
      <c r="V68" s="3"/>
      <c r="W68" s="3"/>
      <c r="AG68" s="4"/>
    </row>
    <row r="69" spans="1:33" ht="11.25" customHeight="1">
      <c r="A69" s="53" t="s">
        <v>188</v>
      </c>
      <c r="B69" s="68" t="s">
        <v>25</v>
      </c>
      <c r="C69" s="81" t="s">
        <v>18</v>
      </c>
      <c r="D69" s="87">
        <v>1370.5843781219216</v>
      </c>
      <c r="E69" s="87">
        <v>1435.7587540968134</v>
      </c>
      <c r="F69" s="88">
        <v>104.75522536337374</v>
      </c>
      <c r="G69" s="5"/>
      <c r="H69" s="87">
        <v>1666.1956938219926</v>
      </c>
      <c r="I69" s="87">
        <v>1555.8949974439277</v>
      </c>
      <c r="J69" s="87">
        <v>1435.7587540968134</v>
      </c>
      <c r="K69" s="87">
        <v>1325.4580577187483</v>
      </c>
      <c r="L69" s="87">
        <v>1215.1573613406833</v>
      </c>
      <c r="M69" s="87">
        <v>1444.843113216579</v>
      </c>
      <c r="O69" s="58"/>
      <c r="P69" s="72">
        <v>116.04983699856591</v>
      </c>
      <c r="Q69" s="87">
        <v>108.36743937686717</v>
      </c>
      <c r="R69" s="87">
        <v>100</v>
      </c>
      <c r="S69" s="87">
        <v>92.31760237830126</v>
      </c>
      <c r="T69" s="87">
        <v>84.635204756602519</v>
      </c>
      <c r="U69" s="72">
        <v>100.63272183393235</v>
      </c>
      <c r="V69" s="3"/>
      <c r="W69" s="3"/>
      <c r="AG69" s="4"/>
    </row>
    <row r="70" spans="1:33" ht="11.25" customHeight="1">
      <c r="A70" s="53" t="s">
        <v>188</v>
      </c>
      <c r="B70" s="68" t="s">
        <v>24</v>
      </c>
      <c r="C70" s="81" t="s">
        <v>18</v>
      </c>
      <c r="D70" s="87">
        <v>1953.0120181997045</v>
      </c>
      <c r="E70" s="87">
        <v>2046.7234617629424</v>
      </c>
      <c r="F70" s="88">
        <v>104.79830347637193</v>
      </c>
      <c r="G70" s="5"/>
      <c r="H70" s="87">
        <v>2275.1560215223972</v>
      </c>
      <c r="I70" s="87">
        <v>2162.8462159206351</v>
      </c>
      <c r="J70" s="87">
        <v>2046.7234617629424</v>
      </c>
      <c r="K70" s="87">
        <v>1961.1179954386544</v>
      </c>
      <c r="L70" s="87">
        <v>1834.62040097095</v>
      </c>
      <c r="M70" s="87">
        <v>1825.0616504961026</v>
      </c>
      <c r="O70" s="58"/>
      <c r="P70" s="72">
        <v>111.16089027301688</v>
      </c>
      <c r="Q70" s="87">
        <v>105.6735927606786</v>
      </c>
      <c r="R70" s="87">
        <v>100</v>
      </c>
      <c r="S70" s="87">
        <v>95.817438558575375</v>
      </c>
      <c r="T70" s="87">
        <v>89.636945842732572</v>
      </c>
      <c r="U70" s="72">
        <v>89.169918877271698</v>
      </c>
      <c r="V70" s="3"/>
      <c r="W70" s="3"/>
      <c r="AG70" s="4"/>
    </row>
    <row r="71" spans="1:33" ht="11.25" customHeight="1">
      <c r="A71" s="53" t="s">
        <v>188</v>
      </c>
      <c r="B71" s="68" t="s">
        <v>23</v>
      </c>
      <c r="C71" s="81" t="s">
        <v>18</v>
      </c>
      <c r="D71" s="87">
        <v>1369.3031325374686</v>
      </c>
      <c r="E71" s="87">
        <v>1430.6429717080971</v>
      </c>
      <c r="F71" s="88">
        <v>104.47963914732009</v>
      </c>
      <c r="G71" s="5"/>
      <c r="H71" s="87">
        <v>1586.1339840946534</v>
      </c>
      <c r="I71" s="87">
        <v>1510.3800929921576</v>
      </c>
      <c r="J71" s="87">
        <v>1430.6429717080971</v>
      </c>
      <c r="K71" s="87">
        <v>1360.1156730173623</v>
      </c>
      <c r="L71" s="87">
        <v>1275.1408048136273</v>
      </c>
      <c r="M71" s="87">
        <v>1377.9052256410894</v>
      </c>
      <c r="O71" s="58"/>
      <c r="P71" s="72">
        <v>110.86861051020367</v>
      </c>
      <c r="Q71" s="87">
        <v>105.57351644406847</v>
      </c>
      <c r="R71" s="87">
        <v>100</v>
      </c>
      <c r="S71" s="87">
        <v>95.07023764241265</v>
      </c>
      <c r="T71" s="87">
        <v>89.130609804848092</v>
      </c>
      <c r="U71" s="72">
        <v>96.313703201292626</v>
      </c>
      <c r="V71" s="3"/>
      <c r="W71" s="3"/>
      <c r="AG71" s="4"/>
    </row>
    <row r="72" spans="1:33" ht="11.25" customHeight="1">
      <c r="A72" s="53" t="s">
        <v>188</v>
      </c>
      <c r="B72" s="68" t="s">
        <v>22</v>
      </c>
      <c r="C72" s="81" t="s">
        <v>18</v>
      </c>
      <c r="D72" s="87">
        <v>141.30243036565949</v>
      </c>
      <c r="E72" s="87">
        <v>142.33674141208164</v>
      </c>
      <c r="F72" s="88">
        <v>100.73198390413071</v>
      </c>
      <c r="G72" s="5"/>
      <c r="H72" s="87">
        <v>157.84310814691241</v>
      </c>
      <c r="I72" s="87">
        <v>150.10037148909305</v>
      </c>
      <c r="J72" s="87">
        <v>142.33674141208164</v>
      </c>
      <c r="K72" s="87">
        <v>140.36415034120023</v>
      </c>
      <c r="L72" s="87">
        <v>130.98362876526826</v>
      </c>
      <c r="M72" s="87">
        <v>116.03906194589223</v>
      </c>
      <c r="O72" s="58"/>
      <c r="P72" s="72">
        <v>110.89414200507655</v>
      </c>
      <c r="Q72" s="87">
        <v>105.45441043541581</v>
      </c>
      <c r="R72" s="87">
        <v>100</v>
      </c>
      <c r="S72" s="87">
        <v>98.614137817606405</v>
      </c>
      <c r="T72" s="87">
        <v>92.023765238558624</v>
      </c>
      <c r="U72" s="72">
        <v>81.524320983255805</v>
      </c>
      <c r="V72" s="3"/>
      <c r="W72" s="3"/>
      <c r="AG72" s="4"/>
    </row>
    <row r="73" spans="1:33" s="6" customFormat="1" ht="11.25" customHeight="1">
      <c r="A73" s="53" t="s">
        <v>188</v>
      </c>
      <c r="B73" s="67" t="s">
        <v>21</v>
      </c>
      <c r="C73" s="84" t="s">
        <v>18</v>
      </c>
      <c r="D73" s="85">
        <v>442.40645529657638</v>
      </c>
      <c r="E73" s="85">
        <v>473.74374864276365</v>
      </c>
      <c r="F73" s="86">
        <v>107.08337163054722</v>
      </c>
      <c r="G73" s="5"/>
      <c r="H73" s="85">
        <v>531.17892928083131</v>
      </c>
      <c r="I73" s="85">
        <v>502.36575143938444</v>
      </c>
      <c r="J73" s="85">
        <v>473.74374864276365</v>
      </c>
      <c r="K73" s="85">
        <v>460.63817208009186</v>
      </c>
      <c r="L73" s="85">
        <v>428.49596739205447</v>
      </c>
      <c r="M73" s="85">
        <v>331.11736290912103</v>
      </c>
      <c r="N73" s="1"/>
      <c r="O73" s="58"/>
      <c r="P73" s="85">
        <v>112.12368095676506</v>
      </c>
      <c r="Q73" s="85">
        <v>106.04166342640309</v>
      </c>
      <c r="R73" s="85">
        <v>100</v>
      </c>
      <c r="S73" s="85">
        <v>97.23361488141677</v>
      </c>
      <c r="T73" s="85">
        <v>90.448891118808362</v>
      </c>
      <c r="U73" s="85">
        <v>69.89376933368402</v>
      </c>
      <c r="V73" s="5"/>
      <c r="W73" s="5"/>
      <c r="X73" s="1"/>
      <c r="Y73" s="1"/>
      <c r="Z73" s="1"/>
      <c r="AA73" s="1"/>
      <c r="AB73" s="1"/>
      <c r="AC73" s="1"/>
      <c r="AD73" s="1"/>
      <c r="AE73" s="1"/>
      <c r="AF73" s="1"/>
      <c r="AG73" s="4"/>
    </row>
    <row r="74" spans="1:33" ht="11.25" customHeight="1">
      <c r="A74" s="53" t="s">
        <v>188</v>
      </c>
      <c r="B74" s="68" t="s">
        <v>20</v>
      </c>
      <c r="C74" s="81" t="s">
        <v>18</v>
      </c>
      <c r="D74" s="87">
        <v>1.2812455844530177</v>
      </c>
      <c r="E74" s="87">
        <v>5.1157823887162976</v>
      </c>
      <c r="F74" s="88">
        <v>399.28195271793265</v>
      </c>
      <c r="G74" s="5"/>
      <c r="H74" s="87">
        <v>80.061709727339121</v>
      </c>
      <c r="I74" s="87">
        <v>45.514904451770008</v>
      </c>
      <c r="J74" s="87">
        <v>5.1157823887162976</v>
      </c>
      <c r="K74" s="87">
        <v>-34.657615298614019</v>
      </c>
      <c r="L74" s="87">
        <v>-59.983443472943918</v>
      </c>
      <c r="M74" s="87">
        <v>66.93788757548964</v>
      </c>
      <c r="O74" s="58"/>
      <c r="P74" s="87"/>
      <c r="Q74" s="87"/>
      <c r="R74" s="87"/>
      <c r="S74" s="87"/>
      <c r="T74" s="87"/>
      <c r="U74" s="87"/>
      <c r="V74" s="3"/>
      <c r="W74" s="3"/>
      <c r="AG74" s="4"/>
    </row>
    <row r="75" spans="1:33" s="6" customFormat="1" ht="11.25" customHeight="1">
      <c r="A75" s="53" t="s">
        <v>188</v>
      </c>
      <c r="B75" s="67" t="s">
        <v>19</v>
      </c>
      <c r="C75" s="84" t="s">
        <v>18</v>
      </c>
      <c r="D75" s="85">
        <v>-140.02118478120647</v>
      </c>
      <c r="E75" s="85">
        <v>-137.22095902336534</v>
      </c>
      <c r="F75" s="86">
        <v>98.000141362739726</v>
      </c>
      <c r="G75" s="5"/>
      <c r="H75" s="85">
        <v>-77.781398419573293</v>
      </c>
      <c r="I75" s="85">
        <v>-104.58546703732304</v>
      </c>
      <c r="J75" s="85">
        <v>-137.22095902336534</v>
      </c>
      <c r="K75" s="85">
        <v>-175.02176563981425</v>
      </c>
      <c r="L75" s="85">
        <v>-190.96707223821218</v>
      </c>
      <c r="M75" s="85">
        <v>-49.101174370402589</v>
      </c>
      <c r="N75" s="1"/>
      <c r="O75" s="58"/>
      <c r="P75" s="85"/>
      <c r="Q75" s="85"/>
      <c r="R75" s="85"/>
      <c r="S75" s="85"/>
      <c r="T75" s="85"/>
      <c r="U75" s="85"/>
      <c r="V75" s="5"/>
      <c r="W75" s="5"/>
      <c r="AF75" s="1"/>
      <c r="AG75" s="4"/>
    </row>
    <row r="76" spans="1:33" ht="11.25" customHeight="1">
      <c r="A76" s="53" t="s">
        <v>188</v>
      </c>
      <c r="B76" s="68" t="s">
        <v>17</v>
      </c>
      <c r="C76" s="83" t="s">
        <v>16</v>
      </c>
      <c r="D76" s="87">
        <v>-6.5970305350595693</v>
      </c>
      <c r="E76" s="87">
        <v>-6.4770994015638808</v>
      </c>
      <c r="F76" s="88">
        <v>98.182043680739071</v>
      </c>
      <c r="G76" s="5"/>
      <c r="H76" s="87">
        <v>-3.2111811814132607</v>
      </c>
      <c r="I76" s="87">
        <v>-4.6056760857467616</v>
      </c>
      <c r="J76" s="87">
        <v>-6.4770994015638808</v>
      </c>
      <c r="K76" s="87">
        <v>-8.5430827781608194</v>
      </c>
      <c r="L76" s="87">
        <v>-10.142331703975204</v>
      </c>
      <c r="M76" s="87">
        <v>-3.6363741892468671</v>
      </c>
      <c r="O76" s="58"/>
      <c r="P76" s="87"/>
      <c r="Q76" s="87"/>
      <c r="R76" s="87"/>
      <c r="S76" s="87"/>
      <c r="T76" s="87"/>
      <c r="U76" s="87"/>
      <c r="V76" s="3"/>
      <c r="W76" s="3"/>
      <c r="X76" s="239" t="s">
        <v>158</v>
      </c>
      <c r="Y76" s="240"/>
      <c r="Z76" s="240"/>
      <c r="AA76" s="240"/>
      <c r="AB76" s="240"/>
      <c r="AC76" s="240"/>
      <c r="AD76" s="240"/>
      <c r="AE76" s="240"/>
      <c r="AF76" s="240"/>
      <c r="AG76" s="4"/>
    </row>
    <row r="77" spans="1:33" ht="11.25" customHeight="1">
      <c r="A77" s="53" t="s">
        <v>188</v>
      </c>
      <c r="B77" s="10" t="s">
        <v>198</v>
      </c>
      <c r="C77" s="9"/>
      <c r="D77" s="15">
        <v>1.4188557743335606E-2</v>
      </c>
      <c r="E77" s="15">
        <v>0</v>
      </c>
      <c r="F77" s="16"/>
      <c r="G77" s="16"/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/>
      <c r="O77" s="58"/>
      <c r="P77" s="3"/>
      <c r="Q77" s="3"/>
      <c r="R77" s="3"/>
      <c r="S77" s="3"/>
      <c r="T77" s="3"/>
      <c r="U77" s="3"/>
      <c r="V77" s="3"/>
      <c r="W77" s="3"/>
      <c r="X77" s="108" t="s">
        <v>200</v>
      </c>
      <c r="AG77" s="4"/>
    </row>
    <row r="78" spans="1:33" ht="15" customHeight="1">
      <c r="A78" s="53" t="s">
        <v>189</v>
      </c>
      <c r="B78" s="60" t="s">
        <v>115</v>
      </c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3"/>
    </row>
    <row r="79" spans="1:33" ht="14.25" customHeight="1">
      <c r="A79" s="53" t="s">
        <v>189</v>
      </c>
      <c r="B79" s="60" t="s">
        <v>116</v>
      </c>
      <c r="C79" s="57"/>
      <c r="D79" s="59" t="s">
        <v>98</v>
      </c>
      <c r="E79" s="59" t="s">
        <v>98</v>
      </c>
      <c r="F79" s="59"/>
      <c r="G79" s="59"/>
      <c r="H79" s="59" t="s">
        <v>109</v>
      </c>
      <c r="I79" s="59" t="s">
        <v>110</v>
      </c>
      <c r="J79" s="59" t="s">
        <v>117</v>
      </c>
      <c r="K79" s="59" t="s">
        <v>139</v>
      </c>
      <c r="L79" s="59" t="s">
        <v>140</v>
      </c>
      <c r="M79" s="59" t="s">
        <v>141</v>
      </c>
      <c r="N79" s="59"/>
      <c r="O79" s="56"/>
      <c r="P79" s="56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3"/>
    </row>
    <row r="80" spans="1:33" ht="15.75" customHeight="1">
      <c r="A80" s="53" t="s">
        <v>189</v>
      </c>
      <c r="B80" s="65" t="s">
        <v>189</v>
      </c>
      <c r="C80" s="74"/>
      <c r="D80" s="101">
        <v>2025</v>
      </c>
      <c r="E80" s="101" t="s">
        <v>196</v>
      </c>
      <c r="F80" s="237" t="s">
        <v>197</v>
      </c>
      <c r="G80" s="102"/>
      <c r="H80" s="95"/>
      <c r="I80" s="95"/>
      <c r="J80" s="95" t="s">
        <v>196</v>
      </c>
      <c r="K80" s="95"/>
      <c r="L80" s="95"/>
      <c r="M80" s="95"/>
      <c r="N80" s="58"/>
      <c r="O80" s="58"/>
      <c r="P80" s="95"/>
      <c r="Q80" s="95"/>
      <c r="R80" s="95" t="s">
        <v>133</v>
      </c>
      <c r="S80" s="95"/>
      <c r="T80" s="95"/>
      <c r="U80" s="95"/>
      <c r="V80" s="20"/>
      <c r="W80" s="20"/>
      <c r="X80" s="20"/>
      <c r="Y80" s="20"/>
      <c r="Z80" s="20"/>
      <c r="AA80" s="20"/>
      <c r="AB80" s="20"/>
      <c r="AC80" s="20"/>
      <c r="AD80" s="20"/>
    </row>
    <row r="81" spans="1:32" ht="24" customHeight="1">
      <c r="A81" s="53" t="s">
        <v>189</v>
      </c>
      <c r="B81" s="66" t="s">
        <v>65</v>
      </c>
      <c r="C81" s="74" t="s">
        <v>46</v>
      </c>
      <c r="D81" s="101"/>
      <c r="E81" s="234"/>
      <c r="F81" s="238"/>
      <c r="G81" s="102"/>
      <c r="H81" s="103" t="s">
        <v>64</v>
      </c>
      <c r="I81" s="130" t="s">
        <v>63</v>
      </c>
      <c r="J81" s="101" t="s">
        <v>62</v>
      </c>
      <c r="K81" s="101" t="s">
        <v>61</v>
      </c>
      <c r="L81" s="101" t="s">
        <v>60</v>
      </c>
      <c r="M81" s="121" t="s">
        <v>59</v>
      </c>
      <c r="N81" s="107"/>
      <c r="O81" s="58"/>
      <c r="P81" s="104" t="s">
        <v>64</v>
      </c>
      <c r="Q81" s="130" t="s">
        <v>63</v>
      </c>
      <c r="R81" s="101" t="s">
        <v>62</v>
      </c>
      <c r="S81" s="101" t="s">
        <v>61</v>
      </c>
      <c r="T81" s="101" t="s">
        <v>60</v>
      </c>
      <c r="U81" s="104" t="s">
        <v>59</v>
      </c>
      <c r="V81" s="20"/>
      <c r="W81" s="20"/>
      <c r="X81" s="20"/>
      <c r="Y81" s="20"/>
      <c r="Z81" s="20"/>
      <c r="AA81" s="20"/>
      <c r="AB81" s="20"/>
      <c r="AC81" s="20"/>
      <c r="AD81" s="20"/>
    </row>
    <row r="82" spans="1:32" ht="12">
      <c r="A82" s="53" t="s">
        <v>189</v>
      </c>
      <c r="B82" s="6" t="s">
        <v>8</v>
      </c>
      <c r="C82" s="75" t="s">
        <v>7</v>
      </c>
      <c r="D82" s="76">
        <v>3500</v>
      </c>
      <c r="E82" s="76">
        <v>3500</v>
      </c>
      <c r="F82" s="76"/>
      <c r="G82" s="24"/>
      <c r="H82" s="94">
        <v>4000</v>
      </c>
      <c r="I82" s="94">
        <v>3500</v>
      </c>
      <c r="J82" s="94">
        <v>3000</v>
      </c>
      <c r="K82" s="94">
        <v>2500</v>
      </c>
      <c r="L82" s="94">
        <v>3000</v>
      </c>
      <c r="M82" s="94">
        <v>3500</v>
      </c>
      <c r="N82" s="107"/>
      <c r="O82" s="58"/>
      <c r="P82" s="19">
        <v>114.28571428571428</v>
      </c>
      <c r="Q82" s="96">
        <v>100</v>
      </c>
      <c r="R82" s="96">
        <v>85.714285714285708</v>
      </c>
      <c r="S82" s="96">
        <v>71.428571428571431</v>
      </c>
      <c r="T82" s="96">
        <v>85.714285714285708</v>
      </c>
      <c r="U82" s="19">
        <v>100</v>
      </c>
      <c r="V82" s="25"/>
      <c r="W82" s="25"/>
      <c r="X82" s="25"/>
      <c r="Y82" s="25"/>
      <c r="Z82" s="25"/>
      <c r="AA82" s="25"/>
      <c r="AB82" s="25"/>
      <c r="AC82" s="25"/>
      <c r="AD82" s="25"/>
    </row>
    <row r="83" spans="1:32" ht="6" customHeight="1">
      <c r="A83" s="53" t="s">
        <v>189</v>
      </c>
      <c r="B83" s="6"/>
      <c r="C83" s="75"/>
      <c r="D83" s="77"/>
      <c r="E83" s="77"/>
      <c r="F83" s="76"/>
      <c r="G83" s="24"/>
      <c r="H83" s="77"/>
      <c r="I83" s="77"/>
      <c r="J83" s="77"/>
      <c r="K83" s="77"/>
      <c r="L83" s="77"/>
      <c r="M83" s="77"/>
      <c r="N83" s="107"/>
      <c r="O83" s="58"/>
      <c r="P83" s="25"/>
      <c r="Q83" s="97"/>
      <c r="R83" s="97"/>
      <c r="S83" s="97"/>
      <c r="T83" s="97"/>
      <c r="U83" s="25"/>
      <c r="V83" s="25"/>
      <c r="W83" s="25"/>
      <c r="X83" s="25"/>
      <c r="Y83" s="25"/>
      <c r="Z83" s="25"/>
      <c r="AA83" s="25"/>
      <c r="AB83" s="25"/>
      <c r="AC83" s="25"/>
      <c r="AD83" s="25"/>
    </row>
    <row r="84" spans="1:32" ht="6" customHeight="1">
      <c r="A84" s="53" t="s">
        <v>189</v>
      </c>
      <c r="B84" s="6"/>
      <c r="C84" s="78"/>
      <c r="D84" s="77"/>
      <c r="E84" s="77"/>
      <c r="F84" s="77"/>
      <c r="G84" s="54"/>
      <c r="H84" s="77"/>
      <c r="I84" s="77"/>
      <c r="J84" s="77"/>
      <c r="K84" s="77"/>
      <c r="L84" s="77"/>
      <c r="M84" s="77"/>
      <c r="N84" s="107"/>
      <c r="O84" s="58"/>
      <c r="P84" s="26"/>
      <c r="Q84" s="98"/>
      <c r="R84" s="98"/>
      <c r="S84" s="98"/>
      <c r="T84" s="98"/>
      <c r="U84" s="26"/>
      <c r="V84" s="25"/>
      <c r="W84" s="25"/>
      <c r="X84" s="25"/>
      <c r="Y84" s="25"/>
      <c r="Z84" s="25"/>
      <c r="AA84" s="25"/>
      <c r="AB84" s="25"/>
      <c r="AC84" s="25"/>
      <c r="AD84" s="25"/>
    </row>
    <row r="85" spans="1:32" ht="11.25" customHeight="1">
      <c r="A85" s="53" t="s">
        <v>189</v>
      </c>
      <c r="B85" s="6" t="s">
        <v>71</v>
      </c>
      <c r="C85" s="75" t="s">
        <v>70</v>
      </c>
      <c r="D85" s="79">
        <v>1</v>
      </c>
      <c r="E85" s="79">
        <v>1</v>
      </c>
      <c r="F85" s="80">
        <v>100</v>
      </c>
      <c r="G85" s="5"/>
      <c r="H85" s="79">
        <v>1</v>
      </c>
      <c r="I85" s="79">
        <v>1</v>
      </c>
      <c r="J85" s="79">
        <v>1</v>
      </c>
      <c r="K85" s="79">
        <v>1</v>
      </c>
      <c r="L85" s="79">
        <v>5</v>
      </c>
      <c r="M85" s="79">
        <v>5</v>
      </c>
      <c r="N85" s="107"/>
      <c r="O85" s="58"/>
      <c r="P85" s="26">
        <v>100</v>
      </c>
      <c r="Q85" s="98">
        <v>100</v>
      </c>
      <c r="R85" s="98">
        <v>100</v>
      </c>
      <c r="S85" s="98">
        <v>100</v>
      </c>
      <c r="T85" s="98">
        <v>500</v>
      </c>
      <c r="U85" s="26">
        <v>500</v>
      </c>
      <c r="V85" s="11"/>
      <c r="W85" s="11"/>
      <c r="X85" s="11"/>
      <c r="Y85" s="11"/>
      <c r="Z85" s="11"/>
      <c r="AA85" s="11"/>
      <c r="AB85" s="11"/>
      <c r="AC85" s="11"/>
      <c r="AD85" s="11"/>
    </row>
    <row r="86" spans="1:32" ht="11.25" customHeight="1">
      <c r="A86" s="53" t="s">
        <v>189</v>
      </c>
      <c r="B86" s="67" t="s">
        <v>45</v>
      </c>
      <c r="C86" s="81"/>
      <c r="D86" s="82"/>
      <c r="E86" s="82"/>
      <c r="F86" s="83"/>
      <c r="H86" s="82"/>
      <c r="I86" s="82"/>
      <c r="J86" s="82"/>
      <c r="K86" s="82"/>
      <c r="L86" s="82"/>
      <c r="M86" s="82"/>
      <c r="N86" s="107"/>
      <c r="O86" s="58"/>
      <c r="P86" s="70"/>
      <c r="Q86" s="82"/>
      <c r="R86" s="82"/>
      <c r="S86" s="82"/>
      <c r="T86" s="82"/>
      <c r="U86" s="70"/>
      <c r="V86" s="23"/>
      <c r="W86" s="23"/>
      <c r="X86" s="23"/>
      <c r="Y86" s="23"/>
      <c r="Z86" s="23"/>
      <c r="AA86" s="23"/>
      <c r="AB86" s="23"/>
      <c r="AC86" s="23"/>
      <c r="AD86" s="23"/>
    </row>
    <row r="87" spans="1:32" s="6" customFormat="1" ht="11.25" customHeight="1">
      <c r="A87" s="53" t="s">
        <v>189</v>
      </c>
      <c r="B87" s="67" t="s">
        <v>44</v>
      </c>
      <c r="C87" s="84" t="s">
        <v>18</v>
      </c>
      <c r="D87" s="85">
        <v>1643.1644378292654</v>
      </c>
      <c r="E87" s="85">
        <v>1678.7125979385614</v>
      </c>
      <c r="F87" s="86">
        <v>102.16339638875446</v>
      </c>
      <c r="G87" s="5"/>
      <c r="H87" s="85">
        <v>1809.4883304399048</v>
      </c>
      <c r="I87" s="85">
        <v>1678.7125979385614</v>
      </c>
      <c r="J87" s="85">
        <v>1537.3088246597888</v>
      </c>
      <c r="K87" s="85">
        <v>1386.2530965136875</v>
      </c>
      <c r="L87" s="85">
        <v>1469.5066491143198</v>
      </c>
      <c r="M87" s="85">
        <v>1609.1547583957033</v>
      </c>
      <c r="N87" s="107"/>
      <c r="O87" s="58"/>
      <c r="P87" s="71">
        <v>107.79023953605484</v>
      </c>
      <c r="Q87" s="85">
        <v>100</v>
      </c>
      <c r="R87" s="85">
        <v>91.576653832680194</v>
      </c>
      <c r="S87" s="85">
        <v>82.578345942955892</v>
      </c>
      <c r="T87" s="85">
        <v>87.537714967937703</v>
      </c>
      <c r="U87" s="71">
        <v>95.85647718208142</v>
      </c>
      <c r="V87" s="5"/>
      <c r="W87" s="5"/>
      <c r="X87" s="5"/>
      <c r="Y87" s="5"/>
      <c r="Z87" s="5"/>
      <c r="AA87" s="5"/>
      <c r="AB87" s="5"/>
      <c r="AC87" s="5"/>
      <c r="AD87" s="5"/>
    </row>
    <row r="88" spans="1:32" ht="11.25" customHeight="1">
      <c r="A88" s="53" t="s">
        <v>189</v>
      </c>
      <c r="B88" s="68" t="s">
        <v>43</v>
      </c>
      <c r="C88" s="81" t="s">
        <v>18</v>
      </c>
      <c r="D88" s="87">
        <v>105.51</v>
      </c>
      <c r="E88" s="87">
        <v>105.51</v>
      </c>
      <c r="F88" s="88">
        <v>100</v>
      </c>
      <c r="G88" s="5"/>
      <c r="H88" s="87">
        <v>105.51</v>
      </c>
      <c r="I88" s="87">
        <v>105.51</v>
      </c>
      <c r="J88" s="87">
        <v>105.51</v>
      </c>
      <c r="K88" s="87">
        <v>105.51</v>
      </c>
      <c r="L88" s="87">
        <v>105.51</v>
      </c>
      <c r="M88" s="87">
        <v>105.51</v>
      </c>
      <c r="N88" s="107"/>
      <c r="O88" s="58"/>
      <c r="P88" s="72">
        <v>100</v>
      </c>
      <c r="Q88" s="87">
        <v>100</v>
      </c>
      <c r="R88" s="87">
        <v>100</v>
      </c>
      <c r="S88" s="87">
        <v>100</v>
      </c>
      <c r="T88" s="87">
        <v>100</v>
      </c>
      <c r="U88" s="72">
        <v>100</v>
      </c>
      <c r="V88" s="3"/>
      <c r="W88" s="3"/>
      <c r="X88" s="3"/>
      <c r="Y88" s="3"/>
      <c r="Z88" s="3"/>
      <c r="AA88" s="3"/>
      <c r="AB88" s="3"/>
      <c r="AC88" s="3"/>
      <c r="AD88" s="3"/>
    </row>
    <row r="89" spans="1:32" ht="11.25" customHeight="1">
      <c r="A89" s="53" t="s">
        <v>189</v>
      </c>
      <c r="B89" s="68" t="s">
        <v>42</v>
      </c>
      <c r="C89" s="81" t="s">
        <v>18</v>
      </c>
      <c r="D89" s="87">
        <v>635.66271444736265</v>
      </c>
      <c r="E89" s="87">
        <v>656.26312802773759</v>
      </c>
      <c r="F89" s="88">
        <v>103.24077739848005</v>
      </c>
      <c r="G89" s="5"/>
      <c r="H89" s="87">
        <v>762.92919237852789</v>
      </c>
      <c r="I89" s="87">
        <v>656.26312802773759</v>
      </c>
      <c r="J89" s="87">
        <v>550.0962656386364</v>
      </c>
      <c r="K89" s="87">
        <v>444.088056504566</v>
      </c>
      <c r="L89" s="87">
        <v>550.0962656386364</v>
      </c>
      <c r="M89" s="87">
        <v>656.26312802773759</v>
      </c>
      <c r="N89" s="107"/>
      <c r="O89" s="58"/>
      <c r="P89" s="72">
        <v>116.25355132648592</v>
      </c>
      <c r="Q89" s="87">
        <v>100</v>
      </c>
      <c r="R89" s="87">
        <v>83.822516022168784</v>
      </c>
      <c r="S89" s="87">
        <v>67.66920729482095</v>
      </c>
      <c r="T89" s="87">
        <v>83.822516022168784</v>
      </c>
      <c r="U89" s="72">
        <v>100</v>
      </c>
      <c r="V89" s="3"/>
      <c r="W89" s="3"/>
      <c r="X89" s="3"/>
      <c r="Y89" s="3"/>
      <c r="Z89" s="3"/>
      <c r="AA89" s="3"/>
      <c r="AB89" s="3"/>
      <c r="AC89" s="3"/>
      <c r="AD89" s="3"/>
    </row>
    <row r="90" spans="1:32" ht="11.25" customHeight="1">
      <c r="A90" s="53" t="s">
        <v>189</v>
      </c>
      <c r="B90" s="68" t="s">
        <v>41</v>
      </c>
      <c r="C90" s="81" t="s">
        <v>18</v>
      </c>
      <c r="D90" s="87">
        <v>152.71337999999997</v>
      </c>
      <c r="E90" s="87">
        <v>152.92757999999998</v>
      </c>
      <c r="F90" s="88">
        <v>100.14026275890168</v>
      </c>
      <c r="G90" s="5"/>
      <c r="H90" s="87">
        <v>152.92757999999998</v>
      </c>
      <c r="I90" s="87">
        <v>152.92757999999998</v>
      </c>
      <c r="J90" s="87">
        <v>152.92757999999998</v>
      </c>
      <c r="K90" s="87">
        <v>152.92757999999998</v>
      </c>
      <c r="L90" s="87">
        <v>152.92757999999998</v>
      </c>
      <c r="M90" s="87">
        <v>152.92757999999998</v>
      </c>
      <c r="N90" s="107"/>
      <c r="O90" s="58"/>
      <c r="P90" s="72">
        <v>100</v>
      </c>
      <c r="Q90" s="87">
        <v>100</v>
      </c>
      <c r="R90" s="87">
        <v>100</v>
      </c>
      <c r="S90" s="87">
        <v>100</v>
      </c>
      <c r="T90" s="87">
        <v>100</v>
      </c>
      <c r="U90" s="72">
        <v>100</v>
      </c>
      <c r="V90" s="3"/>
      <c r="W90" s="3"/>
      <c r="X90" s="3"/>
      <c r="Y90" s="3"/>
      <c r="Z90" s="3"/>
      <c r="AA90" s="3"/>
      <c r="AB90" s="3"/>
      <c r="AC90" s="3"/>
      <c r="AD90" s="3"/>
    </row>
    <row r="91" spans="1:32" ht="11.25" customHeight="1">
      <c r="A91" s="53" t="s">
        <v>189</v>
      </c>
      <c r="B91" s="68" t="s">
        <v>40</v>
      </c>
      <c r="C91" s="81" t="s">
        <v>18</v>
      </c>
      <c r="D91" s="87">
        <v>369.75633722570535</v>
      </c>
      <c r="E91" s="87">
        <v>369.7096590909091</v>
      </c>
      <c r="F91" s="88">
        <v>99.987375974365591</v>
      </c>
      <c r="G91" s="5"/>
      <c r="H91" s="87">
        <v>388.16818181818178</v>
      </c>
      <c r="I91" s="87">
        <v>369.7096590909091</v>
      </c>
      <c r="J91" s="87">
        <v>351.25113636363636</v>
      </c>
      <c r="K91" s="87">
        <v>332.79261363636363</v>
      </c>
      <c r="L91" s="87">
        <v>351.25113636363636</v>
      </c>
      <c r="M91" s="87">
        <v>369.7096590909091</v>
      </c>
      <c r="N91" s="107"/>
      <c r="O91" s="58"/>
      <c r="P91" s="72">
        <v>104.9927077298064</v>
      </c>
      <c r="Q91" s="87">
        <v>100</v>
      </c>
      <c r="R91" s="87">
        <v>95.007292270193588</v>
      </c>
      <c r="S91" s="87">
        <v>90.01458454038719</v>
      </c>
      <c r="T91" s="87">
        <v>95.007292270193588</v>
      </c>
      <c r="U91" s="72">
        <v>100</v>
      </c>
      <c r="V91" s="3"/>
      <c r="W91" s="3"/>
      <c r="X91" s="3"/>
      <c r="Y91" s="3"/>
      <c r="Z91" s="3"/>
      <c r="AA91" s="3"/>
      <c r="AB91" s="3"/>
      <c r="AC91" s="3"/>
      <c r="AD91" s="3"/>
    </row>
    <row r="92" spans="1:32" ht="11.25" customHeight="1">
      <c r="A92" s="53" t="s">
        <v>189</v>
      </c>
      <c r="B92" s="68" t="s">
        <v>39</v>
      </c>
      <c r="C92" s="81" t="s">
        <v>18</v>
      </c>
      <c r="D92" s="87">
        <v>32.130000000000003</v>
      </c>
      <c r="E92" s="87">
        <v>24.097499999999997</v>
      </c>
      <c r="F92" s="88">
        <v>74.999999999999986</v>
      </c>
      <c r="G92" s="5"/>
      <c r="H92" s="87">
        <v>24.097499999999997</v>
      </c>
      <c r="I92" s="87">
        <v>24.097499999999997</v>
      </c>
      <c r="J92" s="87">
        <v>24.0975</v>
      </c>
      <c r="K92" s="87">
        <v>20.081250000000001</v>
      </c>
      <c r="L92" s="87">
        <v>24.0975</v>
      </c>
      <c r="M92" s="87">
        <v>24.097499999999997</v>
      </c>
      <c r="N92" s="107"/>
      <c r="O92" s="58"/>
      <c r="P92" s="72">
        <v>100</v>
      </c>
      <c r="Q92" s="87">
        <v>100</v>
      </c>
      <c r="R92" s="87">
        <v>100.00000000000003</v>
      </c>
      <c r="S92" s="87">
        <v>83.333333333333343</v>
      </c>
      <c r="T92" s="87">
        <v>100.00000000000003</v>
      </c>
      <c r="U92" s="72">
        <v>100</v>
      </c>
      <c r="V92" s="3"/>
      <c r="W92" s="3"/>
      <c r="X92" s="3"/>
      <c r="Y92" s="3"/>
      <c r="Z92" s="3"/>
      <c r="AA92" s="3"/>
      <c r="AB92" s="3"/>
      <c r="AC92" s="3"/>
      <c r="AD92" s="3"/>
    </row>
    <row r="93" spans="1:32" ht="11.25" customHeight="1">
      <c r="A93" s="53" t="s">
        <v>189</v>
      </c>
      <c r="B93" s="68" t="s">
        <v>38</v>
      </c>
      <c r="C93" s="81" t="s">
        <v>18</v>
      </c>
      <c r="D93" s="87">
        <v>319.04792330165151</v>
      </c>
      <c r="E93" s="87">
        <v>340.47967108520817</v>
      </c>
      <c r="F93" s="88">
        <v>106.71740707846374</v>
      </c>
      <c r="G93" s="5"/>
      <c r="H93" s="87">
        <v>342.33546159971405</v>
      </c>
      <c r="I93" s="87">
        <v>340.47967108520817</v>
      </c>
      <c r="J93" s="87">
        <v>327.81024649314594</v>
      </c>
      <c r="K93" s="87">
        <v>309.46896963696418</v>
      </c>
      <c r="L93" s="87">
        <v>261.46869090224476</v>
      </c>
      <c r="M93" s="87">
        <v>272.43346240528098</v>
      </c>
      <c r="N93" s="107"/>
      <c r="O93" s="58"/>
      <c r="P93" s="72">
        <v>100.54505178197304</v>
      </c>
      <c r="Q93" s="87">
        <v>100</v>
      </c>
      <c r="R93" s="87">
        <v>96.278948299121339</v>
      </c>
      <c r="S93" s="87">
        <v>90.892054920811034</v>
      </c>
      <c r="T93" s="87">
        <v>76.794215075709999</v>
      </c>
      <c r="U93" s="72">
        <v>80.014604553909479</v>
      </c>
      <c r="V93" s="3"/>
      <c r="W93" s="3"/>
      <c r="X93" s="3"/>
      <c r="Y93" s="3"/>
      <c r="Z93" s="3"/>
      <c r="AA93" s="3"/>
      <c r="AB93" s="3"/>
      <c r="AC93" s="3"/>
      <c r="AD93" s="3"/>
    </row>
    <row r="94" spans="1:32" s="6" customFormat="1" ht="11.25" customHeight="1">
      <c r="A94" s="53" t="s">
        <v>189</v>
      </c>
      <c r="B94" s="68" t="s">
        <v>11</v>
      </c>
      <c r="C94" s="81" t="s">
        <v>18</v>
      </c>
      <c r="D94" s="87">
        <v>0</v>
      </c>
      <c r="E94" s="87">
        <v>0</v>
      </c>
      <c r="F94" s="88"/>
      <c r="G94" s="5"/>
      <c r="H94" s="87">
        <v>0</v>
      </c>
      <c r="I94" s="87">
        <v>0</v>
      </c>
      <c r="J94" s="87">
        <v>0</v>
      </c>
      <c r="K94" s="87">
        <v>0</v>
      </c>
      <c r="L94" s="87">
        <v>0</v>
      </c>
      <c r="M94" s="87">
        <v>0</v>
      </c>
      <c r="N94" s="107"/>
      <c r="O94" s="58"/>
      <c r="P94" s="72"/>
      <c r="Q94" s="87"/>
      <c r="R94" s="87"/>
      <c r="S94" s="87"/>
      <c r="T94" s="87"/>
      <c r="U94" s="72"/>
      <c r="V94" s="3"/>
      <c r="W94" s="3"/>
      <c r="X94" s="3"/>
      <c r="Y94" s="3"/>
      <c r="Z94" s="3"/>
      <c r="AA94" s="3"/>
      <c r="AB94" s="3"/>
      <c r="AC94" s="3"/>
      <c r="AD94" s="3"/>
      <c r="AE94" s="1"/>
      <c r="AF94" s="1"/>
    </row>
    <row r="95" spans="1:32" s="6" customFormat="1" ht="11.25" customHeight="1">
      <c r="A95" s="53" t="s">
        <v>189</v>
      </c>
      <c r="B95" s="67" t="s">
        <v>37</v>
      </c>
      <c r="C95" s="84" t="s">
        <v>18</v>
      </c>
      <c r="D95" s="85">
        <v>285.3431815028938</v>
      </c>
      <c r="E95" s="85">
        <v>304.45546734207511</v>
      </c>
      <c r="F95" s="86">
        <v>106.6979998395327</v>
      </c>
      <c r="G95" s="5"/>
      <c r="H95" s="85">
        <v>306.23434204633554</v>
      </c>
      <c r="I95" s="85">
        <v>304.45546734207511</v>
      </c>
      <c r="J95" s="85">
        <v>293.03853751309862</v>
      </c>
      <c r="K95" s="85">
        <v>277.63286615860397</v>
      </c>
      <c r="L95" s="85">
        <v>246.97202916033723</v>
      </c>
      <c r="M95" s="85">
        <v>256.86997552644328</v>
      </c>
      <c r="N95" s="107"/>
      <c r="O95" s="58"/>
      <c r="P95" s="71">
        <v>100.58428075534007</v>
      </c>
      <c r="Q95" s="85">
        <v>100</v>
      </c>
      <c r="R95" s="85">
        <v>96.250049332781785</v>
      </c>
      <c r="S95" s="85">
        <v>91.189975526590146</v>
      </c>
      <c r="T95" s="85">
        <v>81.119262306709842</v>
      </c>
      <c r="U95" s="71">
        <v>84.370294864119984</v>
      </c>
      <c r="V95" s="5"/>
      <c r="W95" s="5"/>
      <c r="X95" s="5"/>
      <c r="Y95" s="5"/>
      <c r="Z95" s="5"/>
      <c r="AA95" s="5"/>
      <c r="AB95" s="5"/>
      <c r="AC95" s="5"/>
      <c r="AD95" s="5"/>
      <c r="AE95" s="1"/>
      <c r="AF95" s="1"/>
    </row>
    <row r="96" spans="1:32" ht="11.25" customHeight="1">
      <c r="A96" s="53" t="s">
        <v>189</v>
      </c>
      <c r="B96" s="68" t="s">
        <v>36</v>
      </c>
      <c r="C96" s="81" t="s">
        <v>18</v>
      </c>
      <c r="D96" s="87">
        <v>111.34364392104902</v>
      </c>
      <c r="E96" s="87">
        <v>120.13979179081188</v>
      </c>
      <c r="F96" s="88">
        <v>107.89999999999999</v>
      </c>
      <c r="G96" s="5"/>
      <c r="H96" s="87">
        <v>120.98986254275745</v>
      </c>
      <c r="I96" s="87">
        <v>120.13979179081188</v>
      </c>
      <c r="J96" s="87">
        <v>114.33638499165608</v>
      </c>
      <c r="K96" s="87">
        <v>106.60917107378306</v>
      </c>
      <c r="L96" s="87">
        <v>91.978212343008011</v>
      </c>
      <c r="M96" s="87">
        <v>97.000778997832896</v>
      </c>
      <c r="N96" s="107"/>
      <c r="O96" s="58"/>
      <c r="P96" s="72">
        <v>100.70756802494355</v>
      </c>
      <c r="Q96" s="87">
        <v>100</v>
      </c>
      <c r="R96" s="87">
        <v>95.169454921929002</v>
      </c>
      <c r="S96" s="87">
        <v>88.737602658252953</v>
      </c>
      <c r="T96" s="87">
        <v>76.559323910899579</v>
      </c>
      <c r="U96" s="72">
        <v>80.739926007805323</v>
      </c>
      <c r="V96" s="3"/>
      <c r="W96" s="3"/>
      <c r="X96" s="3"/>
      <c r="Y96" s="3"/>
      <c r="Z96" s="3"/>
      <c r="AA96" s="3"/>
      <c r="AB96" s="3"/>
      <c r="AC96" s="3"/>
      <c r="AD96" s="3"/>
    </row>
    <row r="97" spans="1:32" s="6" customFormat="1" ht="11.25" customHeight="1">
      <c r="A97" s="53" t="s">
        <v>189</v>
      </c>
      <c r="B97" s="67" t="s">
        <v>35</v>
      </c>
      <c r="C97" s="84" t="s">
        <v>18</v>
      </c>
      <c r="D97" s="85">
        <v>1928.507619332159</v>
      </c>
      <c r="E97" s="85">
        <v>1983.1680652806365</v>
      </c>
      <c r="F97" s="86">
        <v>102.83433912319238</v>
      </c>
      <c r="G97" s="5"/>
      <c r="H97" s="85">
        <v>2115.7226724862403</v>
      </c>
      <c r="I97" s="85">
        <v>1983.1680652806365</v>
      </c>
      <c r="J97" s="85">
        <v>1830.3473621728874</v>
      </c>
      <c r="K97" s="85">
        <v>1663.8859626722915</v>
      </c>
      <c r="L97" s="85">
        <v>1716.4786782746569</v>
      </c>
      <c r="M97" s="85">
        <v>1866.0247339221467</v>
      </c>
      <c r="N97" s="107"/>
      <c r="O97" s="58"/>
      <c r="P97" s="71">
        <v>106.68398253916247</v>
      </c>
      <c r="Q97" s="85">
        <v>100</v>
      </c>
      <c r="R97" s="85">
        <v>92.294112345636051</v>
      </c>
      <c r="S97" s="85">
        <v>83.900401171336753</v>
      </c>
      <c r="T97" s="85">
        <v>86.552355714328201</v>
      </c>
      <c r="U97" s="71">
        <v>94.093121334025071</v>
      </c>
      <c r="V97" s="5"/>
      <c r="W97" s="5"/>
      <c r="X97" s="5"/>
      <c r="Y97" s="5"/>
      <c r="Z97" s="5"/>
      <c r="AA97" s="5"/>
      <c r="AB97" s="5"/>
      <c r="AC97" s="5"/>
      <c r="AD97" s="5"/>
      <c r="AE97" s="1"/>
      <c r="AF97" s="1"/>
    </row>
    <row r="98" spans="1:32" ht="12" customHeight="1">
      <c r="A98" s="53" t="s">
        <v>189</v>
      </c>
      <c r="B98" s="68" t="s">
        <v>4</v>
      </c>
      <c r="C98" s="81" t="s">
        <v>18</v>
      </c>
      <c r="D98" s="87">
        <v>0</v>
      </c>
      <c r="E98" s="87">
        <v>0</v>
      </c>
      <c r="F98" s="88"/>
      <c r="G98" s="5"/>
      <c r="H98" s="87">
        <v>0</v>
      </c>
      <c r="I98" s="87">
        <v>0</v>
      </c>
      <c r="J98" s="87">
        <v>0</v>
      </c>
      <c r="K98" s="87">
        <v>0</v>
      </c>
      <c r="L98" s="87">
        <v>0</v>
      </c>
      <c r="M98" s="87">
        <v>0</v>
      </c>
      <c r="N98" s="107"/>
      <c r="O98" s="58"/>
      <c r="P98" s="72"/>
      <c r="Q98" s="87"/>
      <c r="R98" s="87"/>
      <c r="S98" s="87"/>
      <c r="T98" s="87"/>
      <c r="U98" s="72"/>
      <c r="V98" s="3"/>
      <c r="W98" s="3"/>
      <c r="X98" s="239" t="s">
        <v>144</v>
      </c>
      <c r="Y98" s="240"/>
      <c r="Z98" s="240"/>
      <c r="AA98" s="240"/>
      <c r="AB98" s="240"/>
      <c r="AC98" s="240"/>
      <c r="AD98" s="240"/>
      <c r="AE98" s="240"/>
      <c r="AF98" s="240"/>
    </row>
    <row r="99" spans="1:32" ht="12" customHeight="1">
      <c r="A99" s="53" t="s">
        <v>189</v>
      </c>
      <c r="B99" s="68" t="s">
        <v>34</v>
      </c>
      <c r="C99" s="81" t="s">
        <v>18</v>
      </c>
      <c r="D99" s="87">
        <v>1928.507619332159</v>
      </c>
      <c r="E99" s="87">
        <v>1983.1680652806365</v>
      </c>
      <c r="F99" s="88">
        <v>102.83433912319238</v>
      </c>
      <c r="G99" s="5"/>
      <c r="H99" s="87">
        <v>2115.7226724862403</v>
      </c>
      <c r="I99" s="87">
        <v>1983.1680652806365</v>
      </c>
      <c r="J99" s="87">
        <v>1830.3473621728874</v>
      </c>
      <c r="K99" s="87">
        <v>1663.8859626722915</v>
      </c>
      <c r="L99" s="87">
        <v>1716.4786782746569</v>
      </c>
      <c r="M99" s="87">
        <v>1866.0247339221467</v>
      </c>
      <c r="N99" s="107"/>
      <c r="O99" s="58"/>
      <c r="P99" s="72">
        <v>106.68398253916247</v>
      </c>
      <c r="Q99" s="87">
        <v>100</v>
      </c>
      <c r="R99" s="87">
        <v>92.294112345636051</v>
      </c>
      <c r="S99" s="87">
        <v>83.900401171336753</v>
      </c>
      <c r="T99" s="87">
        <v>86.552355714328201</v>
      </c>
      <c r="U99" s="72">
        <v>94.093121334025071</v>
      </c>
      <c r="V99" s="3"/>
      <c r="W99" s="3"/>
      <c r="X99" s="108" t="s">
        <v>199</v>
      </c>
    </row>
    <row r="100" spans="1:32" ht="11.25" customHeight="1">
      <c r="A100" s="53" t="s">
        <v>189</v>
      </c>
      <c r="B100" s="68" t="s">
        <v>33</v>
      </c>
      <c r="C100" s="81" t="s">
        <v>18</v>
      </c>
      <c r="D100" s="87">
        <v>202.77999999999994</v>
      </c>
      <c r="E100" s="87">
        <v>202.77999999999994</v>
      </c>
      <c r="F100" s="88">
        <v>100</v>
      </c>
      <c r="G100" s="5"/>
      <c r="H100" s="87">
        <v>202.77999999999994</v>
      </c>
      <c r="I100" s="87">
        <v>202.77999999999994</v>
      </c>
      <c r="J100" s="87">
        <v>202.77999999999994</v>
      </c>
      <c r="K100" s="87">
        <v>202.77999999999994</v>
      </c>
      <c r="L100" s="87">
        <v>202.77999999999994</v>
      </c>
      <c r="M100" s="87">
        <v>202.77999999999994</v>
      </c>
      <c r="N100" s="107"/>
      <c r="O100" s="58"/>
      <c r="P100" s="72">
        <v>100</v>
      </c>
      <c r="Q100" s="87">
        <v>100</v>
      </c>
      <c r="R100" s="87">
        <v>100</v>
      </c>
      <c r="S100" s="87">
        <v>100</v>
      </c>
      <c r="T100" s="87">
        <v>100</v>
      </c>
      <c r="U100" s="72">
        <v>100</v>
      </c>
      <c r="V100" s="3"/>
      <c r="W100" s="3"/>
      <c r="X100" s="3"/>
      <c r="Y100" s="3"/>
      <c r="Z100" s="3"/>
      <c r="AA100" s="3"/>
      <c r="AB100" s="3"/>
      <c r="AC100" s="3"/>
      <c r="AD100" s="3"/>
    </row>
    <row r="101" spans="1:32" ht="11.25" customHeight="1">
      <c r="A101" s="53" t="s">
        <v>189</v>
      </c>
      <c r="B101" s="67" t="s">
        <v>32</v>
      </c>
      <c r="C101" s="84" t="s">
        <v>18</v>
      </c>
      <c r="D101" s="85">
        <v>1725.7276193321591</v>
      </c>
      <c r="E101" s="85">
        <v>1780.3880652806365</v>
      </c>
      <c r="F101" s="86">
        <v>103.16738547475011</v>
      </c>
      <c r="G101" s="5"/>
      <c r="H101" s="85">
        <v>1912.9426724862403</v>
      </c>
      <c r="I101" s="85">
        <v>1780.3880652806365</v>
      </c>
      <c r="J101" s="85">
        <v>1627.5673621728874</v>
      </c>
      <c r="K101" s="85">
        <v>1461.1059626722915</v>
      </c>
      <c r="L101" s="85">
        <v>1513.6986782746569</v>
      </c>
      <c r="M101" s="85">
        <v>1663.2447339221467</v>
      </c>
      <c r="N101" s="107"/>
      <c r="O101" s="58"/>
      <c r="P101" s="71">
        <v>107.44526487177444</v>
      </c>
      <c r="Q101" s="85">
        <v>100</v>
      </c>
      <c r="R101" s="85">
        <v>91.416438579436317</v>
      </c>
      <c r="S101" s="85">
        <v>82.066712935529722</v>
      </c>
      <c r="T101" s="85">
        <v>85.020715864889695</v>
      </c>
      <c r="U101" s="71">
        <v>93.420348426115467</v>
      </c>
      <c r="V101" s="3"/>
      <c r="W101" s="3"/>
      <c r="X101" s="3"/>
      <c r="Y101" s="3"/>
      <c r="Z101" s="3"/>
      <c r="AA101" s="3"/>
      <c r="AB101" s="3"/>
      <c r="AC101" s="3"/>
      <c r="AD101" s="3"/>
    </row>
    <row r="102" spans="1:32" s="8" customFormat="1" ht="11.25" customHeight="1">
      <c r="A102" s="53" t="s">
        <v>189</v>
      </c>
      <c r="B102" s="69" t="s">
        <v>31</v>
      </c>
      <c r="C102" s="89" t="s">
        <v>29</v>
      </c>
      <c r="D102" s="90">
        <v>0.4930650340949026</v>
      </c>
      <c r="E102" s="90">
        <v>0.50868230436589612</v>
      </c>
      <c r="F102" s="86">
        <v>103.16738547475009</v>
      </c>
      <c r="G102" s="5"/>
      <c r="H102" s="90">
        <v>0.4782356681215601</v>
      </c>
      <c r="I102" s="90">
        <v>0.50868230436589612</v>
      </c>
      <c r="J102" s="90">
        <v>0.54252245405762911</v>
      </c>
      <c r="K102" s="90">
        <v>0.58444238506891666</v>
      </c>
      <c r="L102" s="90">
        <v>0.50456622609155233</v>
      </c>
      <c r="M102" s="90">
        <v>0.47521278112061333</v>
      </c>
      <c r="N102" s="107"/>
      <c r="O102" s="58"/>
      <c r="P102" s="73">
        <v>94.014606762802643</v>
      </c>
      <c r="Q102" s="99">
        <v>100</v>
      </c>
      <c r="R102" s="99">
        <v>106.65251167600903</v>
      </c>
      <c r="S102" s="99">
        <v>114.89339810974164</v>
      </c>
      <c r="T102" s="99">
        <v>99.190835175704663</v>
      </c>
      <c r="U102" s="73">
        <v>93.420348426115467</v>
      </c>
      <c r="V102" s="3"/>
      <c r="W102" s="3"/>
      <c r="X102" s="3"/>
      <c r="Y102" s="3"/>
      <c r="Z102" s="3"/>
      <c r="AA102" s="3"/>
      <c r="AB102" s="3"/>
      <c r="AC102" s="3"/>
      <c r="AD102" s="3"/>
      <c r="AE102" s="1"/>
      <c r="AF102" s="1"/>
    </row>
    <row r="103" spans="1:32" s="8" customFormat="1" ht="11.25" customHeight="1">
      <c r="A103" s="53" t="s">
        <v>189</v>
      </c>
      <c r="B103" s="8" t="s">
        <v>30</v>
      </c>
      <c r="C103" s="91" t="s">
        <v>29</v>
      </c>
      <c r="D103" s="92">
        <v>0.435</v>
      </c>
      <c r="E103" s="92">
        <v>0.45899999999999991</v>
      </c>
      <c r="F103" s="80">
        <v>105.51724137931033</v>
      </c>
      <c r="G103" s="5"/>
      <c r="H103" s="92">
        <v>0.45899999999999996</v>
      </c>
      <c r="I103" s="92">
        <v>0.45899999999999991</v>
      </c>
      <c r="J103" s="92">
        <v>0.45900000000000002</v>
      </c>
      <c r="K103" s="92">
        <v>0.45900000000000002</v>
      </c>
      <c r="L103" s="92">
        <v>0.45900000000000002</v>
      </c>
      <c r="M103" s="92">
        <v>0.45899999999999991</v>
      </c>
      <c r="N103" s="107"/>
      <c r="O103" s="58"/>
      <c r="P103" s="22">
        <v>100.00000000000003</v>
      </c>
      <c r="Q103" s="100">
        <v>100</v>
      </c>
      <c r="R103" s="100">
        <v>100.00000000000003</v>
      </c>
      <c r="S103" s="100">
        <v>100.00000000000003</v>
      </c>
      <c r="T103" s="100">
        <v>100.00000000000003</v>
      </c>
      <c r="U103" s="22">
        <v>100</v>
      </c>
      <c r="V103" s="3"/>
      <c r="W103" s="3"/>
      <c r="X103" s="3"/>
      <c r="Y103" s="3"/>
      <c r="Z103" s="3"/>
      <c r="AA103" s="3"/>
      <c r="AB103" s="3"/>
      <c r="AC103" s="3"/>
      <c r="AD103" s="3"/>
      <c r="AE103" s="1"/>
      <c r="AF103" s="1"/>
    </row>
    <row r="104" spans="1:32" s="6" customFormat="1" ht="11.25" customHeight="1">
      <c r="A104" s="53" t="s">
        <v>189</v>
      </c>
      <c r="B104" s="6" t="s">
        <v>28</v>
      </c>
      <c r="C104" s="75" t="s">
        <v>18</v>
      </c>
      <c r="D104" s="79">
        <v>1725.28</v>
      </c>
      <c r="E104" s="79">
        <v>1809.2799999999997</v>
      </c>
      <c r="F104" s="80">
        <v>104.86877492349068</v>
      </c>
      <c r="G104" s="5"/>
      <c r="H104" s="79">
        <v>2038.7799999999997</v>
      </c>
      <c r="I104" s="79">
        <v>1809.2799999999997</v>
      </c>
      <c r="J104" s="79">
        <v>1579.78</v>
      </c>
      <c r="K104" s="79">
        <v>1350.28</v>
      </c>
      <c r="L104" s="79">
        <v>1579.78</v>
      </c>
      <c r="M104" s="79">
        <v>1809.2799999999997</v>
      </c>
      <c r="N104" s="107"/>
      <c r="O104" s="58"/>
      <c r="P104" s="5">
        <v>112.6846038203042</v>
      </c>
      <c r="Q104" s="79">
        <v>100</v>
      </c>
      <c r="R104" s="79">
        <v>87.31539617969581</v>
      </c>
      <c r="S104" s="79">
        <v>74.630792359391592</v>
      </c>
      <c r="T104" s="79">
        <v>87.31539617969581</v>
      </c>
      <c r="U104" s="5">
        <v>100</v>
      </c>
      <c r="V104" s="5"/>
      <c r="W104" s="5"/>
      <c r="X104" s="5"/>
      <c r="Y104" s="5"/>
      <c r="Z104" s="5"/>
      <c r="AA104" s="5"/>
      <c r="AB104" s="5"/>
      <c r="AC104" s="5"/>
      <c r="AD104" s="5"/>
      <c r="AE104" s="1"/>
      <c r="AF104" s="1"/>
    </row>
    <row r="105" spans="1:32" ht="11.25" customHeight="1">
      <c r="A105" s="53" t="s">
        <v>189</v>
      </c>
      <c r="B105" s="1" t="s">
        <v>27</v>
      </c>
      <c r="C105" s="78" t="s">
        <v>18</v>
      </c>
      <c r="D105" s="93">
        <v>0</v>
      </c>
      <c r="E105" s="93">
        <v>0</v>
      </c>
      <c r="F105" s="80"/>
      <c r="G105" s="5"/>
      <c r="H105" s="93">
        <v>0</v>
      </c>
      <c r="I105" s="93">
        <v>0</v>
      </c>
      <c r="J105" s="93">
        <v>0</v>
      </c>
      <c r="K105" s="93">
        <v>0</v>
      </c>
      <c r="L105" s="93">
        <v>0</v>
      </c>
      <c r="M105" s="93">
        <v>0</v>
      </c>
      <c r="N105" s="107"/>
      <c r="O105" s="58"/>
      <c r="P105" s="3"/>
      <c r="Q105" s="93"/>
      <c r="R105" s="93"/>
      <c r="S105" s="93"/>
      <c r="T105" s="9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2" ht="11.25" customHeight="1">
      <c r="A106" s="53" t="s">
        <v>189</v>
      </c>
      <c r="B106" s="67" t="s">
        <v>26</v>
      </c>
      <c r="C106" s="81"/>
      <c r="D106" s="87"/>
      <c r="E106" s="87"/>
      <c r="F106" s="86"/>
      <c r="G106" s="5"/>
      <c r="H106" s="87"/>
      <c r="I106" s="87"/>
      <c r="J106" s="87"/>
      <c r="K106" s="87"/>
      <c r="L106" s="87"/>
      <c r="M106" s="87"/>
      <c r="N106" s="107"/>
      <c r="O106" s="58"/>
      <c r="P106" s="72"/>
      <c r="Q106" s="87"/>
      <c r="R106" s="87"/>
      <c r="S106" s="87"/>
      <c r="T106" s="87"/>
      <c r="U106" s="72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2" ht="11.25" customHeight="1">
      <c r="A107" s="53" t="s">
        <v>189</v>
      </c>
      <c r="B107" s="68" t="s">
        <v>25</v>
      </c>
      <c r="C107" s="81" t="s">
        <v>18</v>
      </c>
      <c r="D107" s="87">
        <v>1725.28</v>
      </c>
      <c r="E107" s="87">
        <v>1809.2799999999997</v>
      </c>
      <c r="F107" s="88">
        <v>104.86877492349068</v>
      </c>
      <c r="G107" s="5"/>
      <c r="H107" s="87">
        <v>2038.7799999999997</v>
      </c>
      <c r="I107" s="87">
        <v>1809.2799999999997</v>
      </c>
      <c r="J107" s="87">
        <v>1579.78</v>
      </c>
      <c r="K107" s="87">
        <v>1350.28</v>
      </c>
      <c r="L107" s="87">
        <v>1579.78</v>
      </c>
      <c r="M107" s="87">
        <v>1809.2799999999997</v>
      </c>
      <c r="N107" s="107"/>
      <c r="O107" s="58"/>
      <c r="P107" s="72">
        <v>112.6846038203042</v>
      </c>
      <c r="Q107" s="87">
        <v>100</v>
      </c>
      <c r="R107" s="87">
        <v>87.31539617969581</v>
      </c>
      <c r="S107" s="87">
        <v>74.630792359391592</v>
      </c>
      <c r="T107" s="87">
        <v>87.31539617969581</v>
      </c>
      <c r="U107" s="72">
        <v>100</v>
      </c>
      <c r="V107" s="3"/>
      <c r="W107" s="3"/>
      <c r="X107" s="3"/>
      <c r="Y107" s="3"/>
      <c r="Z107" s="3"/>
      <c r="AA107" s="3"/>
      <c r="AB107" s="3"/>
      <c r="AC107" s="3"/>
      <c r="AD107" s="3"/>
    </row>
    <row r="108" spans="1:32" ht="11.25" customHeight="1">
      <c r="A108" s="53" t="s">
        <v>189</v>
      </c>
      <c r="B108" s="68" t="s">
        <v>24</v>
      </c>
      <c r="C108" s="81" t="s">
        <v>18</v>
      </c>
      <c r="D108" s="87">
        <v>1928.5076193321593</v>
      </c>
      <c r="E108" s="87">
        <v>1983.1680652806367</v>
      </c>
      <c r="F108" s="88">
        <v>102.83433912319238</v>
      </c>
      <c r="G108" s="5"/>
      <c r="H108" s="87">
        <v>2115.7226724862398</v>
      </c>
      <c r="I108" s="87">
        <v>1983.1680652806367</v>
      </c>
      <c r="J108" s="87">
        <v>1830.3473621728876</v>
      </c>
      <c r="K108" s="87">
        <v>1663.885962672292</v>
      </c>
      <c r="L108" s="87">
        <v>1716.4786782746569</v>
      </c>
      <c r="M108" s="87">
        <v>1866.0247339221469</v>
      </c>
      <c r="N108" s="107"/>
      <c r="O108" s="58"/>
      <c r="P108" s="72">
        <v>106.68398253916243</v>
      </c>
      <c r="Q108" s="87">
        <v>100</v>
      </c>
      <c r="R108" s="87">
        <v>92.294112345636051</v>
      </c>
      <c r="S108" s="87">
        <v>83.900401171336753</v>
      </c>
      <c r="T108" s="87">
        <v>86.552355714328186</v>
      </c>
      <c r="U108" s="72">
        <v>94.093121334025071</v>
      </c>
      <c r="V108" s="3"/>
      <c r="W108" s="3"/>
      <c r="X108" s="3"/>
      <c r="Y108" s="3"/>
      <c r="Z108" s="3"/>
      <c r="AA108" s="3"/>
      <c r="AB108" s="3"/>
      <c r="AC108" s="3"/>
      <c r="AD108" s="3"/>
    </row>
    <row r="109" spans="1:32" ht="11.25" customHeight="1">
      <c r="A109" s="53" t="s">
        <v>189</v>
      </c>
      <c r="B109" s="68" t="s">
        <v>23</v>
      </c>
      <c r="C109" s="81" t="s">
        <v>18</v>
      </c>
      <c r="D109" s="87">
        <v>1465.4542574221091</v>
      </c>
      <c r="E109" s="87">
        <v>1496.4923756948024</v>
      </c>
      <c r="F109" s="88">
        <v>102.11798615449743</v>
      </c>
      <c r="G109" s="5"/>
      <c r="H109" s="87">
        <v>1624.7109773586824</v>
      </c>
      <c r="I109" s="87">
        <v>1496.4923756948024</v>
      </c>
      <c r="J109" s="87">
        <v>1363.1850298167692</v>
      </c>
      <c r="K109" s="87">
        <v>1222.8983092267783</v>
      </c>
      <c r="L109" s="87">
        <v>1329.5524439241524</v>
      </c>
      <c r="M109" s="87">
        <v>1461.9773363212523</v>
      </c>
      <c r="N109" s="107"/>
      <c r="O109" s="58"/>
      <c r="P109" s="72">
        <v>108.56794219244517</v>
      </c>
      <c r="Q109" s="87">
        <v>100</v>
      </c>
      <c r="R109" s="87">
        <v>91.092013027053326</v>
      </c>
      <c r="S109" s="87">
        <v>81.717643810848159</v>
      </c>
      <c r="T109" s="87">
        <v>88.844585212594765</v>
      </c>
      <c r="U109" s="72">
        <v>97.693604061462381</v>
      </c>
      <c r="V109" s="3"/>
      <c r="W109" s="3"/>
      <c r="X109" s="3"/>
      <c r="Y109" s="3"/>
      <c r="Z109" s="3"/>
      <c r="AA109" s="3"/>
      <c r="AB109" s="3"/>
      <c r="AC109" s="3"/>
      <c r="AD109" s="3"/>
    </row>
    <row r="110" spans="1:32" ht="11.25" customHeight="1">
      <c r="A110" s="53" t="s">
        <v>189</v>
      </c>
      <c r="B110" s="68" t="s">
        <v>22</v>
      </c>
      <c r="C110" s="81" t="s">
        <v>18</v>
      </c>
      <c r="D110" s="87">
        <v>135.81217255692314</v>
      </c>
      <c r="E110" s="87">
        <v>137.44031811421749</v>
      </c>
      <c r="F110" s="88">
        <v>101.198821524346</v>
      </c>
      <c r="G110" s="5"/>
      <c r="H110" s="87">
        <v>139.72282244480914</v>
      </c>
      <c r="I110" s="87">
        <v>137.44031811421749</v>
      </c>
      <c r="J110" s="87">
        <v>131.21875740375859</v>
      </c>
      <c r="K110" s="87">
        <v>123.13197466690049</v>
      </c>
      <c r="L110" s="87">
        <v>105.47149912167212</v>
      </c>
      <c r="M110" s="87">
        <v>111.0721099666529</v>
      </c>
      <c r="N110" s="107"/>
      <c r="O110" s="58"/>
      <c r="P110" s="72">
        <v>101.66072398689793</v>
      </c>
      <c r="Q110" s="87">
        <v>100</v>
      </c>
      <c r="R110" s="87">
        <v>95.473263743984802</v>
      </c>
      <c r="S110" s="87">
        <v>89.589413322351092</v>
      </c>
      <c r="T110" s="87">
        <v>76.739853755301837</v>
      </c>
      <c r="U110" s="72">
        <v>80.814794007060058</v>
      </c>
      <c r="V110" s="3"/>
      <c r="W110" s="3"/>
      <c r="X110" s="3"/>
      <c r="Y110" s="3"/>
      <c r="Z110" s="3"/>
      <c r="AA110" s="3"/>
      <c r="AB110" s="3"/>
      <c r="AC110" s="3"/>
      <c r="AD110" s="3"/>
    </row>
    <row r="111" spans="1:32" s="6" customFormat="1" ht="11.25" customHeight="1">
      <c r="A111" s="53" t="s">
        <v>189</v>
      </c>
      <c r="B111" s="67" t="s">
        <v>21</v>
      </c>
      <c r="C111" s="84" t="s">
        <v>18</v>
      </c>
      <c r="D111" s="85">
        <v>327.24118935312703</v>
      </c>
      <c r="E111" s="85">
        <v>349.23537147161687</v>
      </c>
      <c r="F111" s="86">
        <v>106.72109222007376</v>
      </c>
      <c r="G111" s="5"/>
      <c r="H111" s="85">
        <v>351.28887268274832</v>
      </c>
      <c r="I111" s="85">
        <v>349.23537147161687</v>
      </c>
      <c r="J111" s="85">
        <v>335.94357495235988</v>
      </c>
      <c r="K111" s="85">
        <v>317.85567877861314</v>
      </c>
      <c r="L111" s="85">
        <v>281.45473522883236</v>
      </c>
      <c r="M111" s="85">
        <v>292.97528763424168</v>
      </c>
      <c r="N111" s="107"/>
      <c r="O111" s="58"/>
      <c r="P111" s="71">
        <v>100.58799920594478</v>
      </c>
      <c r="Q111" s="85">
        <v>100</v>
      </c>
      <c r="R111" s="85">
        <v>96.194029126188539</v>
      </c>
      <c r="S111" s="85">
        <v>91.014743850035813</v>
      </c>
      <c r="T111" s="85">
        <v>80.591703538742735</v>
      </c>
      <c r="U111" s="71">
        <v>83.890496658369671</v>
      </c>
      <c r="V111" s="5"/>
      <c r="W111" s="5"/>
      <c r="X111" s="5"/>
      <c r="Y111" s="5"/>
      <c r="Z111" s="5"/>
      <c r="AA111" s="5"/>
      <c r="AB111" s="5"/>
      <c r="AC111" s="5"/>
      <c r="AD111" s="5"/>
      <c r="AE111" s="1"/>
      <c r="AF111" s="1"/>
    </row>
    <row r="112" spans="1:32" ht="11.25" customHeight="1">
      <c r="A112" s="53" t="s">
        <v>189</v>
      </c>
      <c r="B112" s="68" t="s">
        <v>20</v>
      </c>
      <c r="C112" s="81" t="s">
        <v>18</v>
      </c>
      <c r="D112" s="87">
        <v>259.82574257789088</v>
      </c>
      <c r="E112" s="87">
        <v>312.78762430519737</v>
      </c>
      <c r="F112" s="87">
        <v>120.38361603505454</v>
      </c>
      <c r="G112" s="5"/>
      <c r="H112" s="87">
        <v>414.06902264131736</v>
      </c>
      <c r="I112" s="87">
        <v>312.78762430519737</v>
      </c>
      <c r="J112" s="87">
        <v>216.59497018323077</v>
      </c>
      <c r="K112" s="87">
        <v>127.38169077322164</v>
      </c>
      <c r="L112" s="87">
        <v>250.22755607584759</v>
      </c>
      <c r="M112" s="87">
        <v>347.30266367874742</v>
      </c>
      <c r="N112" s="107"/>
      <c r="O112" s="58"/>
      <c r="P112" s="72">
        <v>132.38024476227241</v>
      </c>
      <c r="Q112" s="87">
        <v>100</v>
      </c>
      <c r="R112" s="87">
        <v>69.24665599042109</v>
      </c>
      <c r="S112" s="87">
        <v>40.72465816260398</v>
      </c>
      <c r="T112" s="87">
        <v>79.999186870543255</v>
      </c>
      <c r="U112" s="72">
        <v>111.03465632638732</v>
      </c>
      <c r="V112" s="3"/>
      <c r="W112" s="3"/>
      <c r="X112" s="3"/>
      <c r="Y112" s="3"/>
      <c r="Z112" s="3"/>
      <c r="AA112" s="3"/>
      <c r="AB112" s="3"/>
      <c r="AC112" s="3"/>
      <c r="AD112" s="3"/>
    </row>
    <row r="113" spans="1:32" s="6" customFormat="1" ht="11.25" customHeight="1">
      <c r="A113" s="53" t="s">
        <v>189</v>
      </c>
      <c r="B113" s="67" t="s">
        <v>19</v>
      </c>
      <c r="C113" s="84" t="s">
        <v>18</v>
      </c>
      <c r="D113" s="85">
        <v>124.01357002096773</v>
      </c>
      <c r="E113" s="85">
        <v>175.34730619097988</v>
      </c>
      <c r="F113" s="85">
        <v>141.3936443901525</v>
      </c>
      <c r="G113" s="5"/>
      <c r="H113" s="85">
        <v>274.34620019650822</v>
      </c>
      <c r="I113" s="85">
        <v>175.34730619097988</v>
      </c>
      <c r="J113" s="85">
        <v>85.376212779472183</v>
      </c>
      <c r="K113" s="85">
        <v>4.249716106321145</v>
      </c>
      <c r="L113" s="85">
        <v>144.75605695417545</v>
      </c>
      <c r="M113" s="85">
        <v>236.23055371209452</v>
      </c>
      <c r="N113" s="107"/>
      <c r="O113" s="58"/>
      <c r="P113" s="71">
        <v>156.45874815875612</v>
      </c>
      <c r="Q113" s="85">
        <v>100</v>
      </c>
      <c r="R113" s="85">
        <v>48.689777239283337</v>
      </c>
      <c r="S113" s="85">
        <v>2.4235993119235935</v>
      </c>
      <c r="T113" s="85">
        <v>82.553909779779616</v>
      </c>
      <c r="U113" s="71">
        <v>134.7215185928226</v>
      </c>
      <c r="V113" s="5"/>
      <c r="W113" s="5"/>
      <c r="X113" s="5"/>
      <c r="Y113" s="5"/>
      <c r="Z113" s="5"/>
      <c r="AA113" s="5"/>
      <c r="AB113" s="5"/>
      <c r="AC113" s="5"/>
      <c r="AD113" s="5"/>
      <c r="AE113" s="1"/>
      <c r="AF113" s="1"/>
    </row>
    <row r="114" spans="1:32" ht="12" customHeight="1">
      <c r="A114" s="53" t="s">
        <v>189</v>
      </c>
      <c r="B114" s="68" t="s">
        <v>17</v>
      </c>
      <c r="C114" s="83" t="s">
        <v>16</v>
      </c>
      <c r="D114" s="87">
        <v>8.5446629435422459</v>
      </c>
      <c r="E114" s="87">
        <v>12.109859539056481</v>
      </c>
      <c r="F114" s="87">
        <v>141.72425078754787</v>
      </c>
      <c r="G114" s="5"/>
      <c r="H114" s="87">
        <v>18.816717810379096</v>
      </c>
      <c r="I114" s="87">
        <v>12.109859539056481</v>
      </c>
      <c r="J114" s="87">
        <v>6.1886429229794713</v>
      </c>
      <c r="K114" s="87">
        <v>0.33007852972921076</v>
      </c>
      <c r="L114" s="87">
        <v>13.045546776098574</v>
      </c>
      <c r="M114" s="87">
        <v>20.210945517506921</v>
      </c>
      <c r="N114" s="107"/>
      <c r="O114" s="58"/>
      <c r="P114" s="72">
        <v>155.3834522166982</v>
      </c>
      <c r="Q114" s="87">
        <v>100</v>
      </c>
      <c r="R114" s="87">
        <v>51.104167666189539</v>
      </c>
      <c r="S114" s="87">
        <v>2.7257007289361859</v>
      </c>
      <c r="T114" s="87">
        <v>107.72665639947625</v>
      </c>
      <c r="U114" s="72">
        <v>166.89661388988844</v>
      </c>
      <c r="V114" s="3"/>
      <c r="W114" s="3"/>
      <c r="X114" s="239" t="s">
        <v>183</v>
      </c>
      <c r="Y114" s="240"/>
      <c r="Z114" s="240"/>
      <c r="AA114" s="240"/>
      <c r="AB114" s="240"/>
      <c r="AC114" s="240"/>
      <c r="AD114" s="240"/>
      <c r="AE114" s="240"/>
      <c r="AF114" s="240"/>
    </row>
    <row r="115" spans="1:32" ht="12" customHeight="1">
      <c r="A115" s="53" t="s">
        <v>189</v>
      </c>
      <c r="B115" s="10" t="s">
        <v>198</v>
      </c>
      <c r="C115" s="9"/>
      <c r="D115" s="15">
        <v>1.5617270270993522E-2</v>
      </c>
      <c r="E115" s="15">
        <v>0</v>
      </c>
      <c r="F115" s="16"/>
      <c r="G115" s="16"/>
      <c r="H115" s="15">
        <v>0</v>
      </c>
      <c r="I115" s="15">
        <v>0</v>
      </c>
      <c r="J115" s="15">
        <v>0</v>
      </c>
      <c r="K115" s="15">
        <v>0</v>
      </c>
      <c r="L115" s="15"/>
      <c r="M115" s="15"/>
      <c r="N115" s="107"/>
      <c r="O115" s="58"/>
      <c r="P115" s="3"/>
      <c r="Q115" s="3"/>
      <c r="R115" s="3"/>
      <c r="S115" s="3"/>
      <c r="T115" s="3"/>
      <c r="U115" s="3"/>
      <c r="V115" s="3"/>
      <c r="W115" s="3"/>
      <c r="X115" s="108" t="s">
        <v>200</v>
      </c>
    </row>
    <row r="116" spans="1:32" ht="12">
      <c r="A116" s="53" t="s">
        <v>156</v>
      </c>
      <c r="B116" s="134" t="s">
        <v>184</v>
      </c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5"/>
      <c r="Q116" s="125"/>
      <c r="R116" s="125"/>
      <c r="S116" s="125"/>
      <c r="T116" s="125"/>
      <c r="U116" s="125"/>
      <c r="V116" s="55"/>
      <c r="W116" s="11"/>
      <c r="X116" s="243" t="s">
        <v>128</v>
      </c>
      <c r="Y116" s="244"/>
      <c r="Z116" s="244"/>
      <c r="AA116" s="244"/>
      <c r="AB116" s="244"/>
      <c r="AC116" s="244"/>
      <c r="AD116" s="244"/>
      <c r="AE116" s="244"/>
      <c r="AF116" s="244"/>
    </row>
    <row r="117" spans="1:32" ht="12">
      <c r="A117" s="53" t="s">
        <v>156</v>
      </c>
      <c r="B117" s="27"/>
      <c r="P117" s="11"/>
      <c r="Q117" s="11"/>
      <c r="R117" s="11"/>
      <c r="S117" s="11"/>
      <c r="T117" s="11"/>
      <c r="U117" s="11"/>
      <c r="V117" s="3"/>
      <c r="W117" s="11"/>
      <c r="X117" s="243" t="s">
        <v>53</v>
      </c>
      <c r="Y117" s="244"/>
      <c r="Z117" s="244"/>
      <c r="AA117" s="244"/>
      <c r="AB117" s="244"/>
      <c r="AC117" s="244"/>
      <c r="AD117" s="244"/>
      <c r="AE117" s="244"/>
      <c r="AF117" s="244"/>
    </row>
    <row r="118" spans="1:32" ht="12.75">
      <c r="A118" s="53" t="s">
        <v>156</v>
      </c>
      <c r="B118" s="28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P118" s="11"/>
      <c r="Q118" s="11"/>
      <c r="R118" s="11"/>
      <c r="S118" s="11"/>
      <c r="T118" s="11"/>
      <c r="U118" s="11"/>
      <c r="V118" s="3"/>
      <c r="W118" s="11"/>
      <c r="X118" s="245" t="s">
        <v>52</v>
      </c>
      <c r="Y118" s="246"/>
      <c r="Z118" s="246"/>
      <c r="AA118" s="246"/>
      <c r="AB118" s="246"/>
      <c r="AC118" s="246"/>
      <c r="AD118" s="246"/>
      <c r="AE118" s="246"/>
      <c r="AF118" s="246"/>
    </row>
    <row r="119" spans="1:32" ht="12.75" customHeight="1">
      <c r="A119" s="53" t="s">
        <v>156</v>
      </c>
      <c r="B119" s="6"/>
      <c r="P119" s="11"/>
      <c r="Q119" s="11"/>
      <c r="R119" s="11"/>
      <c r="S119" s="11"/>
      <c r="T119" s="11"/>
      <c r="U119" s="11"/>
      <c r="V119" s="3"/>
      <c r="W119" s="11"/>
      <c r="X119" s="247" t="s">
        <v>161</v>
      </c>
      <c r="Y119" s="248"/>
      <c r="Z119" s="248"/>
      <c r="AA119" s="248"/>
      <c r="AB119" s="248"/>
      <c r="AC119" s="248"/>
      <c r="AD119" s="248"/>
      <c r="AE119" s="248"/>
      <c r="AF119" s="248"/>
    </row>
    <row r="120" spans="1:32" ht="22.5" customHeight="1">
      <c r="A120" s="53" t="s">
        <v>156</v>
      </c>
      <c r="B120" s="6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P120" s="11"/>
      <c r="Q120" s="11"/>
      <c r="R120" s="11"/>
      <c r="S120" s="11"/>
      <c r="T120" s="11"/>
      <c r="U120" s="11"/>
      <c r="V120" s="3"/>
      <c r="W120" s="11"/>
      <c r="X120" s="247" t="s">
        <v>154</v>
      </c>
      <c r="Y120" s="248"/>
      <c r="Z120" s="248"/>
      <c r="AA120" s="248"/>
      <c r="AB120" s="248"/>
      <c r="AC120" s="248"/>
      <c r="AD120" s="248"/>
      <c r="AE120" s="248"/>
      <c r="AF120" s="248"/>
    </row>
    <row r="121" spans="1:32" ht="22.5" customHeight="1">
      <c r="A121" s="53" t="s">
        <v>156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P121" s="11"/>
      <c r="Q121" s="11"/>
      <c r="R121" s="11"/>
      <c r="S121" s="11"/>
      <c r="T121" s="11"/>
      <c r="U121" s="11"/>
      <c r="V121" s="3"/>
      <c r="W121" s="11"/>
      <c r="X121" s="247" t="s">
        <v>155</v>
      </c>
      <c r="Y121" s="248"/>
      <c r="Z121" s="248"/>
      <c r="AA121" s="248"/>
      <c r="AB121" s="248"/>
      <c r="AC121" s="248"/>
      <c r="AD121" s="248"/>
      <c r="AE121" s="248"/>
      <c r="AF121" s="248"/>
    </row>
    <row r="122" spans="1:32" ht="12.75" customHeight="1">
      <c r="A122" s="53" t="s">
        <v>156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P122" s="11"/>
      <c r="Q122" s="11"/>
      <c r="R122" s="11"/>
      <c r="S122" s="11"/>
      <c r="T122" s="11"/>
      <c r="U122" s="11"/>
      <c r="V122" s="3"/>
      <c r="W122" s="11"/>
      <c r="X122" s="247" t="s">
        <v>51</v>
      </c>
      <c r="Y122" s="248"/>
      <c r="Z122" s="248"/>
      <c r="AA122" s="248"/>
      <c r="AB122" s="248"/>
      <c r="AC122" s="248"/>
      <c r="AD122" s="248"/>
      <c r="AE122" s="248"/>
      <c r="AF122" s="248"/>
    </row>
    <row r="123" spans="1:32" ht="12">
      <c r="A123" s="53" t="s">
        <v>156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P123" s="11"/>
      <c r="Q123" s="11"/>
      <c r="R123" s="11"/>
      <c r="S123" s="11"/>
      <c r="T123" s="11"/>
      <c r="U123" s="11"/>
      <c r="V123" s="3"/>
      <c r="W123" s="11"/>
      <c r="X123" s="247" t="s">
        <v>77</v>
      </c>
      <c r="Y123" s="248"/>
      <c r="Z123" s="248"/>
      <c r="AA123" s="248"/>
      <c r="AB123" s="248"/>
      <c r="AC123" s="248"/>
      <c r="AD123" s="248"/>
      <c r="AE123" s="248"/>
      <c r="AF123" s="248"/>
    </row>
    <row r="124" spans="1:32" ht="12">
      <c r="A124" s="53" t="s">
        <v>156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P124" s="11"/>
      <c r="Q124" s="11"/>
      <c r="R124" s="11"/>
      <c r="S124" s="11"/>
      <c r="T124" s="11"/>
      <c r="U124" s="11"/>
      <c r="V124" s="3"/>
      <c r="W124" s="11"/>
      <c r="X124" s="245" t="s">
        <v>50</v>
      </c>
      <c r="Y124" s="246"/>
      <c r="Z124" s="246"/>
      <c r="AA124" s="246"/>
      <c r="AB124" s="246"/>
      <c r="AC124" s="246"/>
      <c r="AD124" s="246"/>
      <c r="AE124" s="246"/>
      <c r="AF124" s="246"/>
    </row>
    <row r="125" spans="1:32" ht="12">
      <c r="A125" s="53" t="s">
        <v>156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P125" s="11"/>
      <c r="Q125" s="11"/>
      <c r="R125" s="11"/>
      <c r="S125" s="11"/>
      <c r="T125" s="11"/>
      <c r="U125" s="11"/>
      <c r="V125" s="3"/>
      <c r="W125" s="11"/>
      <c r="X125" s="245" t="s">
        <v>49</v>
      </c>
      <c r="Y125" s="246"/>
      <c r="Z125" s="246"/>
      <c r="AA125" s="246"/>
      <c r="AB125" s="246"/>
      <c r="AC125" s="246"/>
      <c r="AD125" s="246"/>
      <c r="AE125" s="246"/>
      <c r="AF125" s="246"/>
    </row>
    <row r="126" spans="1:32" ht="7.5" customHeight="1">
      <c r="A126" s="53" t="s">
        <v>156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P126" s="11"/>
      <c r="Q126" s="11"/>
      <c r="R126" s="11"/>
      <c r="S126" s="11"/>
      <c r="T126" s="11"/>
      <c r="U126" s="11"/>
      <c r="V126" s="3"/>
      <c r="W126" s="11"/>
      <c r="X126" s="122"/>
      <c r="Y126" s="122"/>
      <c r="Z126" s="122"/>
      <c r="AA126" s="123"/>
      <c r="AB126" s="123"/>
      <c r="AC126" s="123"/>
      <c r="AD126" s="123"/>
      <c r="AE126" s="123"/>
      <c r="AF126" s="123"/>
    </row>
    <row r="127" spans="1:32" ht="12">
      <c r="A127" s="53" t="s">
        <v>156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P127" s="11"/>
      <c r="Q127" s="11"/>
      <c r="R127" s="11"/>
      <c r="S127" s="11"/>
      <c r="T127" s="11"/>
      <c r="U127" s="11"/>
      <c r="V127" s="3"/>
      <c r="W127" s="11"/>
      <c r="X127" s="249" t="s">
        <v>146</v>
      </c>
      <c r="Y127" s="250"/>
      <c r="Z127" s="250"/>
      <c r="AA127" s="250"/>
      <c r="AB127" s="250"/>
      <c r="AC127" s="250"/>
      <c r="AD127" s="250"/>
      <c r="AE127" s="250"/>
      <c r="AF127" s="250"/>
    </row>
    <row r="128" spans="1:32" ht="12">
      <c r="A128" s="53" t="s">
        <v>156</v>
      </c>
      <c r="B128" s="6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P128" s="11"/>
      <c r="Q128" s="11"/>
      <c r="R128" s="11"/>
      <c r="S128" s="11"/>
      <c r="T128" s="11"/>
      <c r="U128" s="11"/>
      <c r="V128" s="3"/>
      <c r="W128" s="11"/>
      <c r="X128" s="241" t="s">
        <v>147</v>
      </c>
      <c r="Y128" s="242"/>
      <c r="Z128" s="242"/>
      <c r="AA128" s="242"/>
      <c r="AB128" s="242"/>
      <c r="AC128" s="242"/>
      <c r="AD128" s="242"/>
      <c r="AE128" s="242"/>
      <c r="AF128" s="242"/>
    </row>
    <row r="129" spans="1:32" ht="12">
      <c r="A129" s="53" t="s">
        <v>156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P129" s="11"/>
      <c r="Q129" s="11"/>
      <c r="R129" s="11"/>
      <c r="S129" s="11"/>
      <c r="T129" s="11"/>
      <c r="U129" s="11"/>
      <c r="V129" s="3"/>
      <c r="W129" s="11"/>
      <c r="X129" s="253" t="s">
        <v>148</v>
      </c>
      <c r="Y129" s="254"/>
      <c r="Z129" s="254"/>
      <c r="AA129" s="254"/>
      <c r="AB129" s="254"/>
      <c r="AC129" s="254"/>
      <c r="AD129" s="254"/>
      <c r="AE129" s="254"/>
      <c r="AF129" s="254"/>
    </row>
    <row r="130" spans="1:32" ht="12">
      <c r="A130" s="53" t="s">
        <v>156</v>
      </c>
      <c r="B130" s="6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P130" s="11"/>
      <c r="Q130" s="11"/>
      <c r="R130" s="11"/>
      <c r="S130" s="11"/>
      <c r="T130" s="11"/>
      <c r="U130" s="11"/>
      <c r="V130" s="3"/>
      <c r="W130" s="11"/>
      <c r="X130" s="253" t="s">
        <v>149</v>
      </c>
      <c r="Y130" s="254"/>
      <c r="Z130" s="254"/>
      <c r="AA130" s="254"/>
      <c r="AB130" s="254"/>
      <c r="AC130" s="254"/>
      <c r="AD130" s="254"/>
      <c r="AE130" s="254"/>
      <c r="AF130" s="254"/>
    </row>
    <row r="131" spans="1:32" ht="12">
      <c r="A131" s="53" t="s">
        <v>156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P131" s="11"/>
      <c r="Q131" s="11"/>
      <c r="R131" s="11"/>
      <c r="S131" s="11"/>
      <c r="T131" s="11"/>
      <c r="U131" s="11"/>
      <c r="V131" s="3"/>
      <c r="W131" s="11"/>
      <c r="X131" s="253" t="s">
        <v>150</v>
      </c>
      <c r="Y131" s="254"/>
      <c r="Z131" s="254"/>
      <c r="AA131" s="254"/>
      <c r="AB131" s="254"/>
      <c r="AC131" s="254"/>
      <c r="AD131" s="254"/>
      <c r="AE131" s="254"/>
      <c r="AF131" s="254"/>
    </row>
    <row r="132" spans="1:32" ht="12">
      <c r="A132" s="53" t="s">
        <v>156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P132" s="11"/>
      <c r="Q132" s="11"/>
      <c r="R132" s="11"/>
      <c r="S132" s="11"/>
      <c r="T132" s="11"/>
      <c r="U132" s="11"/>
      <c r="V132" s="3"/>
      <c r="W132" s="11"/>
      <c r="X132" s="253" t="s">
        <v>151</v>
      </c>
      <c r="Y132" s="254"/>
      <c r="Z132" s="254"/>
      <c r="AA132" s="254"/>
      <c r="AB132" s="254"/>
      <c r="AC132" s="254"/>
      <c r="AD132" s="254"/>
      <c r="AE132" s="254"/>
      <c r="AF132" s="254"/>
    </row>
    <row r="133" spans="1:32" ht="12">
      <c r="A133" s="53" t="s">
        <v>156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P133" s="11"/>
      <c r="Q133" s="11"/>
      <c r="R133" s="11"/>
      <c r="S133" s="11"/>
      <c r="T133" s="11"/>
      <c r="U133" s="11"/>
      <c r="V133" s="3"/>
      <c r="W133" s="11"/>
      <c r="X133" s="241" t="s">
        <v>153</v>
      </c>
      <c r="Y133" s="242"/>
      <c r="Z133" s="242"/>
      <c r="AA133" s="242"/>
      <c r="AB133" s="242"/>
      <c r="AC133" s="242"/>
      <c r="AD133" s="242"/>
      <c r="AE133" s="242"/>
      <c r="AF133" s="242"/>
    </row>
    <row r="134" spans="1:32" ht="12">
      <c r="A134" s="53" t="s">
        <v>156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P134" s="11"/>
      <c r="Q134" s="11"/>
      <c r="R134" s="11"/>
      <c r="S134" s="11"/>
      <c r="T134" s="11"/>
      <c r="U134" s="11"/>
      <c r="V134" s="3"/>
      <c r="W134" s="11"/>
      <c r="X134" s="253" t="s">
        <v>163</v>
      </c>
      <c r="Y134" s="254"/>
      <c r="Z134" s="254"/>
      <c r="AA134" s="254"/>
      <c r="AB134" s="254"/>
      <c r="AC134" s="254"/>
      <c r="AD134" s="254"/>
      <c r="AE134" s="254"/>
      <c r="AF134" s="254"/>
    </row>
    <row r="135" spans="1:32" ht="12">
      <c r="A135" s="53" t="s">
        <v>156</v>
      </c>
      <c r="B135" s="8"/>
      <c r="C135" s="9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P135" s="11"/>
      <c r="Q135" s="11"/>
      <c r="R135" s="11"/>
      <c r="S135" s="11"/>
      <c r="T135" s="11"/>
      <c r="U135" s="11"/>
      <c r="V135" s="3"/>
      <c r="W135" s="11"/>
      <c r="X135" s="241" t="s">
        <v>160</v>
      </c>
      <c r="Y135" s="242"/>
      <c r="Z135" s="242"/>
      <c r="AA135" s="242"/>
      <c r="AB135" s="242"/>
      <c r="AC135" s="242"/>
      <c r="AD135" s="242"/>
      <c r="AE135" s="242"/>
      <c r="AF135" s="242"/>
    </row>
    <row r="136" spans="1:32" ht="12">
      <c r="A136" s="53" t="s">
        <v>156</v>
      </c>
      <c r="B136" s="8"/>
      <c r="C136" s="9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P136" s="11"/>
      <c r="Q136" s="11"/>
      <c r="R136" s="11"/>
      <c r="S136" s="11"/>
      <c r="T136" s="11"/>
      <c r="U136" s="11"/>
      <c r="V136" s="3"/>
      <c r="W136" s="11"/>
      <c r="X136" s="253" t="s">
        <v>159</v>
      </c>
      <c r="Y136" s="254"/>
      <c r="Z136" s="254"/>
      <c r="AA136" s="254"/>
      <c r="AB136" s="254"/>
      <c r="AC136" s="254"/>
      <c r="AD136" s="254"/>
      <c r="AE136" s="254"/>
      <c r="AF136" s="254"/>
    </row>
    <row r="137" spans="1:32" ht="12.75" hidden="1">
      <c r="A137" s="53" t="s">
        <v>156</v>
      </c>
      <c r="B137" s="6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P137" s="11"/>
      <c r="Q137" s="11"/>
      <c r="R137" s="11"/>
      <c r="S137" s="11"/>
      <c r="T137" s="11"/>
      <c r="U137" s="11"/>
      <c r="V137" s="3"/>
      <c r="W137" s="11"/>
      <c r="X137" s="251"/>
      <c r="Y137" s="252"/>
      <c r="Z137" s="109"/>
    </row>
    <row r="138" spans="1:32" ht="12.75" hidden="1">
      <c r="A138" s="127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P138" s="11"/>
      <c r="Q138" s="11"/>
      <c r="R138" s="11"/>
      <c r="S138" s="11"/>
      <c r="T138" s="11"/>
      <c r="U138" s="11"/>
      <c r="V138" s="3"/>
      <c r="W138" s="11"/>
      <c r="X138" s="251"/>
      <c r="Y138" s="252"/>
      <c r="Z138" s="109"/>
    </row>
    <row r="139" spans="1:32" ht="12.75" hidden="1">
      <c r="A139" s="29"/>
      <c r="B139" s="6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P139" s="11"/>
      <c r="Q139" s="11"/>
      <c r="R139" s="11"/>
      <c r="S139" s="11"/>
      <c r="T139" s="11"/>
      <c r="U139" s="11"/>
      <c r="V139" s="3"/>
      <c r="W139" s="11"/>
      <c r="X139" s="251"/>
      <c r="Y139" s="252"/>
      <c r="Z139" s="109"/>
    </row>
    <row r="140" spans="1:32" ht="12.75" hidden="1">
      <c r="A140" s="29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P140" s="11"/>
      <c r="Q140" s="11"/>
      <c r="R140" s="11"/>
      <c r="S140" s="11"/>
      <c r="T140" s="11"/>
      <c r="U140" s="11"/>
      <c r="V140" s="3"/>
      <c r="W140" s="11"/>
      <c r="X140" s="251"/>
      <c r="Y140" s="252"/>
      <c r="Z140" s="109"/>
    </row>
    <row r="141" spans="1:32" ht="12.75" hidden="1">
      <c r="A141" s="29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P141" s="11"/>
      <c r="Q141" s="11"/>
      <c r="R141" s="11"/>
      <c r="S141" s="11"/>
      <c r="T141" s="11"/>
      <c r="U141" s="11"/>
      <c r="V141" s="3"/>
      <c r="W141" s="11"/>
      <c r="X141" s="251"/>
      <c r="Y141" s="252"/>
      <c r="Z141" s="109"/>
    </row>
    <row r="142" spans="1:32" ht="12.75" hidden="1">
      <c r="A142" s="29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P142" s="11"/>
      <c r="Q142" s="11"/>
      <c r="R142" s="11"/>
      <c r="S142" s="11"/>
      <c r="T142" s="11"/>
      <c r="U142" s="11"/>
      <c r="V142" s="3"/>
      <c r="W142" s="11"/>
      <c r="X142" s="251"/>
      <c r="Y142" s="252"/>
      <c r="Z142" s="109"/>
    </row>
    <row r="143" spans="1:32" ht="12.75" hidden="1">
      <c r="A143" s="29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P143" s="11"/>
      <c r="Q143" s="11"/>
      <c r="R143" s="11"/>
      <c r="S143" s="11"/>
      <c r="T143" s="11"/>
      <c r="U143" s="11"/>
      <c r="V143" s="3"/>
      <c r="W143" s="11"/>
      <c r="X143" s="251"/>
      <c r="Y143" s="252"/>
      <c r="Z143" s="109"/>
    </row>
    <row r="144" spans="1:32" ht="12.75" hidden="1">
      <c r="A144" s="29"/>
      <c r="B144" s="6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P144" s="11"/>
      <c r="Q144" s="11"/>
      <c r="R144" s="11"/>
      <c r="S144" s="11"/>
      <c r="T144" s="11"/>
      <c r="U144" s="11"/>
      <c r="V144" s="3"/>
      <c r="W144" s="11"/>
      <c r="X144" s="251"/>
      <c r="Y144" s="252"/>
      <c r="Z144" s="109"/>
    </row>
    <row r="145" spans="1:26" ht="12.75" hidden="1">
      <c r="A145" s="29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P145" s="11"/>
      <c r="Q145" s="11"/>
      <c r="R145" s="11"/>
      <c r="S145" s="11"/>
      <c r="T145" s="11"/>
      <c r="U145" s="11"/>
      <c r="V145" s="3"/>
      <c r="W145" s="11"/>
      <c r="X145" s="251"/>
      <c r="Y145" s="252"/>
      <c r="Z145" s="109"/>
    </row>
    <row r="146" spans="1:26" ht="12.75" hidden="1">
      <c r="A146" s="29"/>
      <c r="B146" s="6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P146" s="11"/>
      <c r="Q146" s="11"/>
      <c r="R146" s="11"/>
      <c r="S146" s="11"/>
      <c r="T146" s="11"/>
      <c r="U146" s="11"/>
      <c r="V146" s="3"/>
      <c r="W146" s="11"/>
      <c r="X146" s="251"/>
      <c r="Y146" s="252"/>
      <c r="Z146" s="109"/>
    </row>
    <row r="147" spans="1:26" ht="12.75" hidden="1">
      <c r="A147" s="29"/>
      <c r="C147" s="9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P147" s="11"/>
      <c r="Q147" s="11"/>
      <c r="R147" s="11"/>
      <c r="S147" s="11"/>
      <c r="T147" s="11"/>
      <c r="U147" s="11"/>
      <c r="V147" s="3"/>
      <c r="W147" s="11"/>
      <c r="X147" s="251"/>
      <c r="Y147" s="252"/>
      <c r="Z147" s="109"/>
    </row>
    <row r="148" spans="1:26" ht="12.75" hidden="1">
      <c r="A148" s="29"/>
      <c r="P148" s="11"/>
      <c r="Q148" s="11"/>
      <c r="R148" s="11"/>
      <c r="S148" s="11"/>
      <c r="T148" s="11"/>
      <c r="U148" s="11"/>
      <c r="V148" s="3"/>
      <c r="W148" s="11"/>
      <c r="X148" s="251"/>
      <c r="Y148" s="252"/>
      <c r="Z148" s="109"/>
    </row>
    <row r="149" spans="1:26" ht="12.75" hidden="1">
      <c r="A149" s="29"/>
      <c r="V149" s="3"/>
      <c r="X149" s="251"/>
      <c r="Y149" s="252"/>
    </row>
    <row r="150" spans="1:26" ht="12.75" hidden="1">
      <c r="A150" s="29"/>
      <c r="V150" s="3"/>
      <c r="X150" s="251"/>
      <c r="Y150" s="252"/>
    </row>
    <row r="151" spans="1:26" ht="12.75" hidden="1">
      <c r="A151" s="29"/>
      <c r="D151" s="23"/>
      <c r="E151" s="23"/>
      <c r="L151" s="23"/>
      <c r="M151" s="23"/>
      <c r="V151" s="3"/>
      <c r="X151" s="251"/>
      <c r="Y151" s="252"/>
    </row>
    <row r="152" spans="1:26" ht="12.75" hidden="1">
      <c r="A152" s="29"/>
      <c r="X152" s="251"/>
      <c r="Y152" s="252"/>
    </row>
    <row r="153" spans="1:26" ht="12.75" hidden="1">
      <c r="A153" s="29"/>
      <c r="X153" s="251"/>
      <c r="Y153" s="252"/>
    </row>
    <row r="154" spans="1:26" ht="12.75" hidden="1">
      <c r="A154" s="29"/>
      <c r="X154" s="251"/>
      <c r="Y154" s="252"/>
    </row>
    <row r="155" spans="1:26" ht="12.75" hidden="1">
      <c r="A155" s="29"/>
      <c r="X155" s="251"/>
      <c r="Y155" s="252"/>
    </row>
    <row r="156" spans="1:26" ht="12.75" hidden="1">
      <c r="A156" s="29"/>
      <c r="X156" s="251"/>
      <c r="Y156" s="252"/>
    </row>
    <row r="157" spans="1:26" ht="12.75" hidden="1">
      <c r="A157" s="29"/>
      <c r="X157" s="251"/>
      <c r="Y157" s="252"/>
    </row>
    <row r="158" spans="1:26" hidden="1">
      <c r="A158" s="29"/>
    </row>
  </sheetData>
  <autoFilter ref="A1:A158" xr:uid="{00000000-0009-0000-0000-000000000000}"/>
  <mergeCells count="50">
    <mergeCell ref="X153:Y153"/>
    <mergeCell ref="X154:Y154"/>
    <mergeCell ref="X155:Y155"/>
    <mergeCell ref="X156:Y156"/>
    <mergeCell ref="X157:Y157"/>
    <mergeCell ref="X152:Y152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40:Y140"/>
    <mergeCell ref="X129:AF129"/>
    <mergeCell ref="X130:AF130"/>
    <mergeCell ref="X131:AF131"/>
    <mergeCell ref="X132:AF132"/>
    <mergeCell ref="X133:AF133"/>
    <mergeCell ref="X134:AF134"/>
    <mergeCell ref="X135:AF135"/>
    <mergeCell ref="X136:AF136"/>
    <mergeCell ref="X137:Y137"/>
    <mergeCell ref="X138:Y138"/>
    <mergeCell ref="X139:Y139"/>
    <mergeCell ref="X128:AF128"/>
    <mergeCell ref="X116:AF116"/>
    <mergeCell ref="X117:AF117"/>
    <mergeCell ref="X118:AF118"/>
    <mergeCell ref="X119:AF119"/>
    <mergeCell ref="X120:AF120"/>
    <mergeCell ref="X121:AF121"/>
    <mergeCell ref="X122:AF122"/>
    <mergeCell ref="X123:AF123"/>
    <mergeCell ref="X124:AF124"/>
    <mergeCell ref="X125:AF125"/>
    <mergeCell ref="X127:AF127"/>
    <mergeCell ref="F80:F81"/>
    <mergeCell ref="X98:AF98"/>
    <mergeCell ref="X114:AF114"/>
    <mergeCell ref="X76:AF76"/>
    <mergeCell ref="F4:F5"/>
    <mergeCell ref="X22:AF22"/>
    <mergeCell ref="X38:AF38"/>
    <mergeCell ref="F42:F43"/>
    <mergeCell ref="X60:AF60"/>
  </mergeCells>
  <conditionalFormatting sqref="F39:G39">
    <cfRule type="cellIs" dxfId="23" priority="67" stopIfTrue="1" operator="notEqual">
      <formula>0</formula>
    </cfRule>
  </conditionalFormatting>
  <conditionalFormatting sqref="F77:G77">
    <cfRule type="cellIs" dxfId="22" priority="9" stopIfTrue="1" operator="notEqual">
      <formula>0</formula>
    </cfRule>
  </conditionalFormatting>
  <conditionalFormatting sqref="F115:G115">
    <cfRule type="cellIs" dxfId="21" priority="8" stopIfTrue="1" operator="notEqual">
      <formula>0</formula>
    </cfRule>
  </conditionalFormatting>
  <pageMargins left="0.75" right="0.75" top="1" bottom="1" header="0" footer="0"/>
  <pageSetup paperSize="9" scale="2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6" tint="0.79998168889431442"/>
  </sheetPr>
  <dimension ref="A1:AU461"/>
  <sheetViews>
    <sheetView topLeftCell="A33" workbookViewId="0">
      <selection activeCell="U67" sqref="U67"/>
    </sheetView>
  </sheetViews>
  <sheetFormatPr defaultColWidth="9.33203125" defaultRowHeight="12"/>
  <cols>
    <col min="1" max="5" width="6.5" style="49" customWidth="1"/>
    <col min="6" max="7" width="7.6640625" style="18" customWidth="1"/>
    <col min="8" max="8" width="5" style="34" customWidth="1"/>
    <col min="9" max="9" width="8.5" style="18" customWidth="1"/>
    <col min="10" max="10" width="43.1640625" style="18" customWidth="1"/>
    <col min="11" max="12" width="8.33203125" style="18" customWidth="1"/>
    <col min="13" max="13" width="7" style="136" customWidth="1"/>
    <col min="14" max="14" width="7.6640625" style="18" customWidth="1"/>
    <col min="15" max="15" width="11.6640625" style="18" customWidth="1"/>
    <col min="16" max="16" width="7.6640625" style="18" customWidth="1"/>
    <col min="17" max="22" width="12" style="18" customWidth="1"/>
    <col min="23" max="23" width="3.5" style="18" customWidth="1"/>
    <col min="24" max="26" width="8.5" style="18" customWidth="1"/>
    <col min="27" max="28" width="7.6640625" style="18" customWidth="1"/>
    <col min="29" max="29" width="3.83203125" style="18" customWidth="1"/>
    <col min="30" max="30" width="3.83203125" style="142" customWidth="1"/>
    <col min="31" max="38" width="9.83203125" style="142" customWidth="1"/>
    <col min="39" max="41" width="9" style="142" customWidth="1"/>
    <col min="42" max="42" width="9" style="18" customWidth="1"/>
    <col min="43" max="45" width="9.1640625" style="18" customWidth="1"/>
    <col min="46" max="16384" width="9.33203125" style="18"/>
  </cols>
  <sheetData>
    <row r="1" spans="10:47" ht="12" hidden="1" customHeight="1">
      <c r="L1" s="30"/>
      <c r="M1" s="135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</row>
    <row r="2" spans="10:47" ht="12" hidden="1" customHeight="1">
      <c r="L2" s="30"/>
      <c r="M2" s="135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0:47" ht="12" hidden="1" customHeight="1">
      <c r="L3" s="30"/>
      <c r="M3" s="135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0:47" ht="12" hidden="1" customHeight="1">
      <c r="L4" s="30"/>
      <c r="M4" s="135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0:47" ht="12" hidden="1" customHeight="1">
      <c r="L5" s="30"/>
      <c r="M5" s="135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</row>
    <row r="6" spans="10:47" ht="12" hidden="1" customHeight="1">
      <c r="L6" s="30"/>
      <c r="M6" s="135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</row>
    <row r="7" spans="10:47" ht="12" hidden="1" customHeight="1">
      <c r="L7" s="30"/>
      <c r="M7" s="135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</row>
    <row r="8" spans="10:47" ht="12" hidden="1" customHeight="1">
      <c r="L8" s="30"/>
      <c r="M8" s="135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</row>
    <row r="9" spans="10:47" ht="12" hidden="1" customHeight="1">
      <c r="L9" s="30"/>
      <c r="M9" s="135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</row>
    <row r="10" spans="10:47" ht="12" hidden="1" customHeight="1">
      <c r="L10" s="30"/>
      <c r="M10" s="135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</row>
    <row r="11" spans="10:47" ht="12" hidden="1" customHeight="1">
      <c r="L11" s="30"/>
      <c r="M11" s="135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</row>
    <row r="12" spans="10:47" ht="12" hidden="1" customHeight="1">
      <c r="L12" s="30"/>
      <c r="M12" s="135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</row>
    <row r="13" spans="10:47" ht="12" hidden="1" customHeight="1">
      <c r="L13" s="30"/>
      <c r="M13" s="135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</row>
    <row r="14" spans="10:47" ht="12" hidden="1" customHeight="1">
      <c r="J14" s="30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10:47" ht="12" hidden="1" customHeight="1">
      <c r="K15" s="31"/>
      <c r="L15" s="32"/>
      <c r="M15" s="137"/>
      <c r="N15" s="32"/>
      <c r="O15" s="32"/>
      <c r="P15" s="32"/>
      <c r="Q15" s="32"/>
      <c r="R15" s="32"/>
      <c r="S15" s="32"/>
      <c r="T15" s="32"/>
      <c r="U15" s="32"/>
      <c r="V15" s="32"/>
      <c r="W15" s="32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</row>
    <row r="16" spans="10:47" ht="12" hidden="1" customHeight="1">
      <c r="K16" s="31"/>
      <c r="L16" s="32"/>
      <c r="M16" s="137"/>
      <c r="N16" s="32"/>
      <c r="O16" s="32"/>
      <c r="P16" s="32"/>
      <c r="Q16" s="32"/>
      <c r="R16" s="32"/>
      <c r="S16" s="32"/>
      <c r="T16" s="32"/>
      <c r="U16" s="32"/>
      <c r="V16" s="32"/>
      <c r="W16" s="32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</row>
    <row r="17" spans="11:41" ht="12" hidden="1" customHeight="1">
      <c r="K17" s="31"/>
      <c r="L17" s="32"/>
      <c r="M17" s="137"/>
      <c r="N17" s="32"/>
      <c r="O17" s="32"/>
      <c r="P17" s="32"/>
      <c r="Q17" s="32"/>
      <c r="R17" s="32"/>
      <c r="S17" s="32"/>
      <c r="T17" s="32"/>
      <c r="U17" s="32"/>
      <c r="V17" s="32"/>
      <c r="W17" s="32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</row>
    <row r="18" spans="11:41" ht="12" hidden="1" customHeight="1">
      <c r="K18" s="31"/>
      <c r="L18" s="32"/>
      <c r="M18" s="137"/>
      <c r="N18" s="32"/>
      <c r="O18" s="32"/>
      <c r="P18" s="32"/>
      <c r="Q18" s="32"/>
      <c r="R18" s="32"/>
      <c r="S18" s="32"/>
      <c r="T18" s="32"/>
      <c r="U18" s="32"/>
      <c r="V18" s="32"/>
      <c r="W18" s="32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</row>
    <row r="19" spans="11:41" ht="12" hidden="1" customHeight="1">
      <c r="K19" s="31"/>
      <c r="L19" s="32"/>
      <c r="M19" s="137"/>
      <c r="N19" s="32"/>
      <c r="O19" s="32"/>
      <c r="P19" s="32"/>
      <c r="Q19" s="32"/>
      <c r="R19" s="32"/>
      <c r="S19" s="32"/>
      <c r="T19" s="32"/>
      <c r="U19" s="32"/>
      <c r="V19" s="32"/>
      <c r="W19" s="32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  <row r="20" spans="11:41" ht="12" hidden="1" customHeight="1">
      <c r="K20" s="31"/>
      <c r="L20" s="32"/>
      <c r="M20" s="137"/>
      <c r="N20" s="32"/>
      <c r="O20" s="32"/>
      <c r="P20" s="32"/>
      <c r="Q20" s="32"/>
      <c r="R20" s="32"/>
      <c r="S20" s="32"/>
      <c r="T20" s="32"/>
      <c r="U20" s="32"/>
      <c r="V20" s="32"/>
      <c r="W20" s="32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</row>
    <row r="21" spans="11:41" ht="12" hidden="1" customHeight="1">
      <c r="K21" s="31"/>
      <c r="L21" s="32"/>
      <c r="M21" s="137"/>
      <c r="N21" s="32"/>
      <c r="O21" s="32"/>
      <c r="P21" s="32"/>
      <c r="Q21" s="32"/>
      <c r="R21" s="32"/>
      <c r="S21" s="32"/>
      <c r="T21" s="32"/>
      <c r="U21" s="32"/>
      <c r="V21" s="32"/>
      <c r="W21" s="32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1:41" ht="12" hidden="1" customHeight="1">
      <c r="K22" s="31"/>
      <c r="L22" s="32"/>
      <c r="M22" s="137"/>
      <c r="N22" s="32"/>
      <c r="O22" s="32"/>
      <c r="P22" s="32"/>
      <c r="Q22" s="32"/>
      <c r="R22" s="32"/>
      <c r="S22" s="32"/>
      <c r="T22" s="32"/>
      <c r="U22" s="32"/>
      <c r="V22" s="32"/>
      <c r="W22" s="32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1:41" ht="12" hidden="1" customHeight="1">
      <c r="K23" s="31"/>
      <c r="L23" s="32"/>
      <c r="M23" s="137"/>
      <c r="N23" s="32"/>
      <c r="O23" s="32"/>
      <c r="P23" s="32"/>
      <c r="Q23" s="32"/>
      <c r="R23" s="32"/>
      <c r="S23" s="32"/>
      <c r="T23" s="32"/>
      <c r="U23" s="32"/>
      <c r="V23" s="32"/>
      <c r="W23" s="32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</row>
    <row r="24" spans="11:41" ht="12" hidden="1" customHeight="1">
      <c r="K24" s="31"/>
      <c r="L24" s="32"/>
      <c r="M24" s="137"/>
      <c r="N24" s="32"/>
      <c r="O24" s="32"/>
      <c r="P24" s="32"/>
      <c r="Q24" s="32"/>
      <c r="R24" s="32"/>
      <c r="S24" s="32"/>
      <c r="T24" s="32"/>
      <c r="U24" s="32"/>
      <c r="V24" s="32"/>
      <c r="W24" s="32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</row>
    <row r="25" spans="11:41" ht="12" hidden="1" customHeight="1">
      <c r="K25" s="31"/>
      <c r="L25" s="32"/>
      <c r="M25" s="137"/>
      <c r="N25" s="32"/>
      <c r="O25" s="32"/>
      <c r="P25" s="32"/>
      <c r="Q25" s="32"/>
      <c r="R25" s="32"/>
      <c r="S25" s="32"/>
      <c r="T25" s="32"/>
      <c r="U25" s="32"/>
      <c r="V25" s="32"/>
      <c r="W25" s="32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</row>
    <row r="26" spans="11:41" ht="12" hidden="1" customHeight="1">
      <c r="K26" s="33"/>
      <c r="L26" s="32"/>
      <c r="M26" s="137"/>
      <c r="N26" s="32"/>
      <c r="O26" s="32"/>
      <c r="P26" s="32"/>
      <c r="Q26" s="32"/>
      <c r="R26" s="32"/>
      <c r="S26" s="32"/>
      <c r="T26" s="32"/>
      <c r="U26" s="32"/>
      <c r="V26" s="32"/>
      <c r="W26" s="32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</row>
    <row r="27" spans="11:41" ht="12" hidden="1" customHeight="1">
      <c r="K27" s="33"/>
      <c r="L27" s="32"/>
      <c r="M27" s="137"/>
      <c r="N27" s="32"/>
      <c r="O27" s="32"/>
      <c r="P27" s="32"/>
      <c r="Q27" s="32"/>
      <c r="R27" s="32"/>
      <c r="S27" s="32"/>
      <c r="T27" s="32"/>
      <c r="U27" s="32"/>
      <c r="V27" s="32"/>
      <c r="W27" s="32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</row>
    <row r="28" spans="11:41" ht="12" hidden="1" customHeight="1">
      <c r="K28" s="33"/>
      <c r="L28" s="32"/>
      <c r="M28" s="137"/>
      <c r="N28" s="32"/>
      <c r="O28" s="32"/>
      <c r="P28" s="32"/>
      <c r="Q28" s="32"/>
      <c r="R28" s="32"/>
      <c r="S28" s="32"/>
      <c r="T28" s="32"/>
      <c r="U28" s="32"/>
      <c r="V28" s="32"/>
      <c r="W28" s="32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</row>
    <row r="29" spans="11:41" ht="12" hidden="1" customHeight="1">
      <c r="K29" s="33"/>
      <c r="L29" s="32"/>
      <c r="M29" s="137"/>
      <c r="N29" s="32"/>
      <c r="O29" s="32"/>
      <c r="P29" s="32"/>
      <c r="Q29" s="32"/>
      <c r="R29" s="32"/>
      <c r="S29" s="32"/>
      <c r="T29" s="32"/>
      <c r="U29" s="32"/>
      <c r="V29" s="32"/>
      <c r="W29" s="32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11:41" ht="12" hidden="1" customHeight="1">
      <c r="K30" s="33"/>
      <c r="L30" s="32"/>
      <c r="M30" s="137"/>
      <c r="N30" s="32"/>
      <c r="O30" s="32"/>
      <c r="P30" s="32"/>
      <c r="Q30" s="32"/>
      <c r="R30" s="32"/>
      <c r="S30" s="32"/>
      <c r="T30" s="32"/>
      <c r="U30" s="32"/>
      <c r="V30" s="32"/>
      <c r="W30" s="32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1:41" ht="12" hidden="1" customHeight="1">
      <c r="K31" s="33"/>
      <c r="L31" s="32"/>
      <c r="M31" s="137"/>
      <c r="N31" s="32"/>
      <c r="O31" s="32"/>
      <c r="P31" s="32"/>
      <c r="Q31" s="32"/>
      <c r="R31" s="32"/>
      <c r="S31" s="32"/>
      <c r="T31" s="32"/>
      <c r="U31" s="32"/>
      <c r="V31" s="32"/>
      <c r="W31" s="32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1:41" ht="12" hidden="1" customHeight="1">
      <c r="K32" s="33"/>
      <c r="L32" s="32"/>
      <c r="M32" s="137"/>
      <c r="N32" s="32"/>
      <c r="O32" s="32"/>
      <c r="P32" s="32"/>
      <c r="Q32" s="32"/>
      <c r="R32" s="32"/>
      <c r="S32" s="32"/>
      <c r="T32" s="32"/>
      <c r="U32" s="32"/>
      <c r="V32" s="32"/>
      <c r="W32" s="32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</row>
    <row r="33" spans="11:41" ht="12" customHeight="1">
      <c r="K33" s="33"/>
      <c r="L33" s="32"/>
      <c r="M33" s="137"/>
      <c r="N33" s="32"/>
      <c r="O33" s="32"/>
      <c r="P33" s="32"/>
      <c r="Q33" s="32"/>
      <c r="R33" s="32"/>
      <c r="S33" s="32"/>
      <c r="T33" s="32"/>
      <c r="U33" s="32"/>
      <c r="V33" s="32"/>
      <c r="W33" s="32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</row>
    <row r="34" spans="11:41" ht="12" customHeight="1">
      <c r="K34" s="32"/>
      <c r="L34" s="32"/>
      <c r="M34" s="137"/>
      <c r="N34" s="32"/>
      <c r="O34" s="32"/>
      <c r="P34" s="32"/>
      <c r="Q34" s="32"/>
      <c r="R34" s="32"/>
      <c r="S34" s="32"/>
      <c r="T34" s="32"/>
      <c r="U34" s="32"/>
      <c r="V34" s="32"/>
      <c r="W34" s="32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</row>
    <row r="35" spans="11:41" ht="12" customHeight="1">
      <c r="K35" s="32"/>
      <c r="L35" s="32"/>
      <c r="M35" s="137"/>
      <c r="N35" s="32"/>
      <c r="O35" s="201" t="s">
        <v>48</v>
      </c>
      <c r="P35" s="201"/>
      <c r="Q35" s="201" t="s">
        <v>182</v>
      </c>
      <c r="R35" s="201"/>
      <c r="S35" s="201"/>
      <c r="T35" s="201"/>
      <c r="U35" s="201"/>
      <c r="V35" s="201"/>
      <c r="W35" s="32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</row>
    <row r="36" spans="11:41" ht="12" customHeight="1">
      <c r="K36" s="32"/>
      <c r="L36" s="32"/>
      <c r="M36" s="137"/>
      <c r="N36" s="32"/>
      <c r="O36" s="32"/>
      <c r="P36" s="32"/>
      <c r="Q36" s="32"/>
      <c r="R36" s="32"/>
      <c r="S36" s="32"/>
      <c r="T36" s="32"/>
      <c r="U36" s="32"/>
      <c r="V36" s="32"/>
      <c r="W36" s="32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1:41" ht="12" customHeight="1">
      <c r="K37" s="32"/>
      <c r="L37" s="32"/>
      <c r="M37" s="137"/>
      <c r="N37" s="32"/>
      <c r="O37" s="201" t="e">
        <f>+#REF!</f>
        <v>#REF!</v>
      </c>
      <c r="P37" s="32"/>
      <c r="Q37" s="35">
        <f>Q88-'2026'!H36</f>
        <v>-178.83999999999992</v>
      </c>
      <c r="R37" s="35">
        <f>R88-'2026'!I36</f>
        <v>-178.83999999999992</v>
      </c>
      <c r="S37" s="35">
        <f>S88-'2026'!J36</f>
        <v>-178.83999999999992</v>
      </c>
      <c r="T37" s="35">
        <f>T88-'2026'!K36</f>
        <v>-178.83999999999992</v>
      </c>
      <c r="U37" s="35">
        <f>U88-'2026'!L36</f>
        <v>-178.83999999999992</v>
      </c>
      <c r="V37" s="35">
        <f>V88-'2026'!M36</f>
        <v>-178.83999999999992</v>
      </c>
      <c r="W37" s="32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1:41" ht="12" customHeight="1">
      <c r="K38" s="32"/>
      <c r="L38" s="32"/>
      <c r="M38" s="137"/>
      <c r="N38" s="32"/>
      <c r="O38" s="201" t="e">
        <f>#REF!</f>
        <v>#REF!</v>
      </c>
      <c r="P38" s="32"/>
      <c r="Q38" s="35">
        <f>'2026'!H74-Q125</f>
        <v>178.83999999999992</v>
      </c>
      <c r="R38" s="35">
        <f>'2026'!I74-R125</f>
        <v>178.83999999999992</v>
      </c>
      <c r="S38" s="35">
        <f>'2026'!J74-S125</f>
        <v>178.83999999999992</v>
      </c>
      <c r="T38" s="35">
        <f>'2026'!K74-T125</f>
        <v>178.83999999999992</v>
      </c>
      <c r="U38" s="35">
        <f>'2026'!L74-U125</f>
        <v>178.83999999999992</v>
      </c>
      <c r="V38" s="35">
        <f>'2026'!M74-V125</f>
        <v>178.83999999999992</v>
      </c>
      <c r="W38" s="32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</row>
    <row r="39" spans="11:41" ht="12" customHeight="1">
      <c r="K39" s="32"/>
      <c r="L39" s="32"/>
      <c r="M39" s="137"/>
      <c r="N39" s="32"/>
      <c r="O39" s="201" t="e">
        <f>#REF!</f>
        <v>#REF!</v>
      </c>
      <c r="P39" s="32"/>
      <c r="Q39" s="35">
        <f>'2026'!H112-Q162</f>
        <v>178.83999999999992</v>
      </c>
      <c r="R39" s="35">
        <f>'2026'!I112-R162</f>
        <v>178.83999999999992</v>
      </c>
      <c r="S39" s="35">
        <f>'2026'!J112-S162</f>
        <v>178.83999999999992</v>
      </c>
      <c r="T39" s="35">
        <f>'2026'!K112-T162</f>
        <v>178.83999999999992</v>
      </c>
      <c r="U39" s="35">
        <f>'2026'!L112-U162</f>
        <v>178.83999999999992</v>
      </c>
      <c r="V39" s="35">
        <f>'2026'!M112-V162</f>
        <v>178.83999999999992</v>
      </c>
      <c r="W39" s="32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</row>
    <row r="40" spans="11:41" ht="12" customHeight="1">
      <c r="K40" s="32"/>
      <c r="L40" s="32"/>
      <c r="M40" s="137"/>
      <c r="N40" s="32"/>
      <c r="O40" s="201" t="e">
        <f>#REF!</f>
        <v>#REF!</v>
      </c>
      <c r="P40" s="32"/>
      <c r="Q40" s="35" t="e">
        <f>'2026'!#REF!-Q199</f>
        <v>#REF!</v>
      </c>
      <c r="R40" s="35" t="e">
        <f>'2026'!#REF!-R199</f>
        <v>#REF!</v>
      </c>
      <c r="S40" s="35" t="e">
        <f>'2026'!#REF!-S199</f>
        <v>#REF!</v>
      </c>
      <c r="T40" s="35" t="e">
        <f>'2026'!#REF!-T199</f>
        <v>#REF!</v>
      </c>
      <c r="U40" s="35" t="e">
        <f>'2026'!#REF!-U199</f>
        <v>#REF!</v>
      </c>
      <c r="V40" s="35" t="e">
        <f>'2026'!#REF!-V199</f>
        <v>#REF!</v>
      </c>
      <c r="W40" s="32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</row>
    <row r="41" spans="11:41" ht="12" customHeight="1">
      <c r="K41" s="32"/>
      <c r="L41" s="32"/>
      <c r="M41" s="137"/>
      <c r="N41" s="32"/>
      <c r="O41" s="201" t="e">
        <f>#REF!</f>
        <v>#REF!</v>
      </c>
      <c r="P41" s="32"/>
      <c r="Q41" s="35" t="e">
        <f>'2026'!#REF!-Q236</f>
        <v>#REF!</v>
      </c>
      <c r="R41" s="35" t="e">
        <f>'2026'!#REF!-R236</f>
        <v>#REF!</v>
      </c>
      <c r="S41" s="35" t="e">
        <f>'2026'!#REF!-S236</f>
        <v>#REF!</v>
      </c>
      <c r="T41" s="35" t="e">
        <f>'2026'!#REF!-T236</f>
        <v>#REF!</v>
      </c>
      <c r="U41" s="35" t="e">
        <f>'2026'!#REF!-U236</f>
        <v>#REF!</v>
      </c>
      <c r="V41" s="35" t="e">
        <f>'2026'!#REF!-V236</f>
        <v>#REF!</v>
      </c>
      <c r="W41" s="32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</row>
    <row r="42" spans="11:41" ht="12" customHeight="1">
      <c r="K42" s="32"/>
      <c r="L42" s="32"/>
      <c r="M42" s="137"/>
      <c r="N42" s="32"/>
      <c r="O42" s="201" t="e">
        <f>#REF!</f>
        <v>#REF!</v>
      </c>
      <c r="P42" s="32"/>
      <c r="Q42" s="35" t="e">
        <f>'2026'!#REF!-Q273</f>
        <v>#REF!</v>
      </c>
      <c r="R42" s="35" t="e">
        <f>'2026'!#REF!-R273</f>
        <v>#REF!</v>
      </c>
      <c r="S42" s="35" t="e">
        <f>'2026'!#REF!-S273</f>
        <v>#REF!</v>
      </c>
      <c r="T42" s="35" t="e">
        <f>'2026'!#REF!-T273</f>
        <v>#REF!</v>
      </c>
      <c r="U42" s="35" t="e">
        <f>'2026'!#REF!-U273</f>
        <v>#REF!</v>
      </c>
      <c r="V42" s="35" t="e">
        <f>'2026'!#REF!-V273</f>
        <v>#REF!</v>
      </c>
      <c r="W42" s="32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</row>
    <row r="43" spans="11:41" ht="12" customHeight="1">
      <c r="K43" s="33"/>
      <c r="L43" s="32"/>
      <c r="M43" s="137"/>
      <c r="N43" s="32"/>
      <c r="O43" s="201" t="e">
        <f>#REF!</f>
        <v>#REF!</v>
      </c>
      <c r="P43" s="32"/>
      <c r="Q43" s="35" t="e">
        <f>'2026'!#REF!-Q310</f>
        <v>#REF!</v>
      </c>
      <c r="R43" s="35" t="e">
        <f>'2026'!#REF!-R310</f>
        <v>#REF!</v>
      </c>
      <c r="S43" s="35" t="e">
        <f>'2026'!#REF!-S310</f>
        <v>#REF!</v>
      </c>
      <c r="T43" s="35" t="e">
        <f>'2026'!#REF!-T310</f>
        <v>#REF!</v>
      </c>
      <c r="U43" s="35" t="e">
        <f>'2026'!#REF!-U310</f>
        <v>#REF!</v>
      </c>
      <c r="V43" s="35" t="e">
        <f>'2026'!#REF!-V310</f>
        <v>#REF!</v>
      </c>
      <c r="W43" s="32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</row>
    <row r="44" spans="11:41" ht="12" customHeight="1">
      <c r="K44" s="33"/>
      <c r="L44" s="32"/>
      <c r="M44" s="137"/>
      <c r="N44" s="32"/>
      <c r="O44" s="201" t="e">
        <f>#REF!</f>
        <v>#REF!</v>
      </c>
      <c r="P44" s="32"/>
      <c r="Q44" s="35" t="e">
        <f>'2026'!#REF!-Q347</f>
        <v>#REF!</v>
      </c>
      <c r="R44" s="35" t="e">
        <f>'2026'!#REF!-R347</f>
        <v>#REF!</v>
      </c>
      <c r="S44" s="35" t="e">
        <f>'2026'!#REF!-S347</f>
        <v>#REF!</v>
      </c>
      <c r="T44" s="35" t="e">
        <f>'2026'!#REF!-T347</f>
        <v>#REF!</v>
      </c>
      <c r="U44" s="35"/>
      <c r="V44" s="35"/>
      <c r="W44" s="32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</row>
    <row r="45" spans="11:41" ht="12" customHeight="1">
      <c r="K45" s="33"/>
      <c r="L45" s="32"/>
      <c r="M45" s="137"/>
      <c r="N45" s="32"/>
      <c r="O45" s="201" t="e">
        <f>#REF!</f>
        <v>#REF!</v>
      </c>
      <c r="P45" s="32"/>
      <c r="Q45" s="35" t="e">
        <f>'2026'!#REF!-Q384</f>
        <v>#REF!</v>
      </c>
      <c r="R45" s="35" t="e">
        <f>'2026'!#REF!-R384</f>
        <v>#REF!</v>
      </c>
      <c r="S45" s="35" t="e">
        <f>'2026'!#REF!-S384</f>
        <v>#REF!</v>
      </c>
      <c r="T45" s="35" t="e">
        <f>'2026'!#REF!-T384</f>
        <v>#REF!</v>
      </c>
      <c r="U45" s="35" t="e">
        <f>'2026'!#REF!-U384</f>
        <v>#REF!</v>
      </c>
      <c r="V45" s="35" t="e">
        <f>'2026'!#REF!-V384</f>
        <v>#REF!</v>
      </c>
      <c r="W45" s="32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</row>
    <row r="46" spans="11:41" ht="12" customHeight="1">
      <c r="K46" s="33"/>
      <c r="L46" s="32"/>
      <c r="M46" s="137"/>
      <c r="N46" s="32"/>
      <c r="O46" s="201" t="e">
        <f>#REF!</f>
        <v>#REF!</v>
      </c>
      <c r="P46" s="32"/>
      <c r="Q46" s="35" t="e">
        <f>'2026'!#REF!-Q421</f>
        <v>#REF!</v>
      </c>
      <c r="R46" s="35" t="e">
        <f>'2026'!#REF!-R421</f>
        <v>#REF!</v>
      </c>
      <c r="S46" s="35" t="e">
        <f>'2026'!#REF!-S421</f>
        <v>#REF!</v>
      </c>
      <c r="T46" s="35" t="e">
        <f>'2026'!#REF!-T421</f>
        <v>#REF!</v>
      </c>
      <c r="U46" s="35" t="e">
        <f>'2026'!#REF!-U421</f>
        <v>#REF!</v>
      </c>
      <c r="V46" s="35" t="e">
        <f>'2026'!#REF!-V421</f>
        <v>#REF!</v>
      </c>
      <c r="W46" s="32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</row>
    <row r="47" spans="11:41" ht="12" customHeight="1">
      <c r="K47" s="33"/>
      <c r="L47" s="32"/>
      <c r="M47" s="137"/>
      <c r="N47" s="32"/>
      <c r="O47" s="32"/>
      <c r="P47" s="32"/>
      <c r="Q47" s="32"/>
      <c r="R47" s="32"/>
      <c r="S47" s="32"/>
      <c r="T47" s="32"/>
      <c r="U47" s="32"/>
      <c r="V47" s="32"/>
      <c r="W47" s="32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</row>
    <row r="48" spans="11:41" ht="12" customHeight="1">
      <c r="K48" s="33"/>
      <c r="L48" s="32"/>
      <c r="M48" s="137"/>
      <c r="N48" s="32"/>
      <c r="O48" s="32"/>
      <c r="P48" s="32"/>
      <c r="Q48" s="35"/>
      <c r="R48" s="35"/>
      <c r="S48" s="35"/>
      <c r="T48" s="35"/>
      <c r="U48" s="35"/>
      <c r="V48" s="32"/>
      <c r="W48" s="32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</row>
    <row r="49" spans="1:41" ht="12" customHeight="1">
      <c r="K49" s="33"/>
      <c r="L49" s="32"/>
      <c r="M49" s="137"/>
      <c r="N49" s="32"/>
      <c r="O49" s="32"/>
      <c r="P49" s="32"/>
      <c r="Q49" s="32"/>
      <c r="R49" s="32"/>
      <c r="S49" s="32"/>
      <c r="T49" s="32"/>
      <c r="U49" s="32"/>
      <c r="V49" s="32"/>
      <c r="W49" s="32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</row>
    <row r="50" spans="1:41" ht="18.75" customHeight="1">
      <c r="A50" s="128" t="s">
        <v>3</v>
      </c>
      <c r="B50" s="128" t="s">
        <v>0</v>
      </c>
      <c r="C50" s="128" t="s">
        <v>2</v>
      </c>
      <c r="D50" s="128" t="s">
        <v>1</v>
      </c>
      <c r="K50" s="138"/>
      <c r="L50" s="139"/>
      <c r="M50" s="140"/>
      <c r="O50" s="141" t="e">
        <f>'2026'!#REF!</f>
        <v>#REF!</v>
      </c>
      <c r="R50" s="32"/>
      <c r="S50" s="32"/>
      <c r="AD50" s="255" t="s">
        <v>186</v>
      </c>
      <c r="AE50" s="256"/>
      <c r="AF50" s="256"/>
      <c r="AG50" s="256"/>
      <c r="AH50" s="256"/>
      <c r="AI50" s="256"/>
      <c r="AJ50" s="256"/>
      <c r="AK50" s="256"/>
      <c r="AL50" s="256"/>
      <c r="AM50" s="256"/>
      <c r="AN50" s="256"/>
      <c r="AO50" s="256"/>
    </row>
    <row r="51" spans="1:41" ht="12.75" customHeight="1">
      <c r="A51" s="110"/>
      <c r="B51" s="110"/>
      <c r="C51" s="110"/>
      <c r="D51" s="110"/>
      <c r="E51" s="110"/>
      <c r="F51" s="34">
        <v>1</v>
      </c>
      <c r="G51" s="34">
        <f t="shared" ref="G51:O51" si="0">+F51+1</f>
        <v>2</v>
      </c>
      <c r="H51" s="34">
        <f t="shared" si="0"/>
        <v>3</v>
      </c>
      <c r="I51" s="34">
        <f t="shared" si="0"/>
        <v>4</v>
      </c>
      <c r="J51" s="34">
        <f t="shared" si="0"/>
        <v>5</v>
      </c>
      <c r="K51" s="34">
        <f t="shared" si="0"/>
        <v>6</v>
      </c>
      <c r="L51" s="34">
        <f t="shared" si="0"/>
        <v>7</v>
      </c>
      <c r="M51" s="34">
        <f t="shared" si="0"/>
        <v>8</v>
      </c>
      <c r="N51" s="34">
        <f t="shared" si="0"/>
        <v>9</v>
      </c>
      <c r="O51" s="34">
        <f t="shared" si="0"/>
        <v>10</v>
      </c>
    </row>
    <row r="52" spans="1:41">
      <c r="J52" s="143"/>
      <c r="L52" s="17"/>
      <c r="Q52" s="17" t="s">
        <v>79</v>
      </c>
      <c r="AD52" s="102"/>
      <c r="AE52" s="102"/>
      <c r="AF52" s="18"/>
      <c r="AG52" s="18"/>
      <c r="AH52" s="18"/>
      <c r="AI52" s="18"/>
      <c r="AJ52" s="18"/>
      <c r="AK52" s="18"/>
      <c r="AL52" s="18"/>
      <c r="AM52" s="18"/>
      <c r="AN52" s="18"/>
    </row>
    <row r="53" spans="1:41">
      <c r="J53" s="144"/>
      <c r="L53" s="17"/>
      <c r="AD53" s="102"/>
      <c r="AE53" s="102"/>
      <c r="AF53" s="18"/>
      <c r="AG53" s="18"/>
      <c r="AH53" s="18"/>
      <c r="AI53" s="18"/>
      <c r="AJ53" s="18"/>
      <c r="AK53" s="18"/>
      <c r="AL53" s="18"/>
      <c r="AM53" s="18"/>
      <c r="AN53" s="18"/>
    </row>
    <row r="54" spans="1:41" ht="12" customHeight="1">
      <c r="A54" s="129"/>
      <c r="B54" s="129"/>
      <c r="C54" s="129"/>
      <c r="D54" s="129"/>
      <c r="E54" s="129"/>
      <c r="F54" s="61"/>
      <c r="G54" s="61"/>
      <c r="H54" s="61">
        <f>1</f>
        <v>1</v>
      </c>
      <c r="I54" s="61" t="str">
        <f>+J56</f>
        <v>Pšenica</v>
      </c>
      <c r="J54" s="60" t="s">
        <v>115</v>
      </c>
      <c r="K54" s="61"/>
      <c r="L54" s="61"/>
      <c r="M54" s="61"/>
      <c r="N54" s="61"/>
      <c r="O54" s="145">
        <f>+O62-O74+O67-'2026'!E26</f>
        <v>2.9806666666211901E-2</v>
      </c>
      <c r="P54" s="61"/>
      <c r="Q54" s="145">
        <f>+Q62-Q74+Q67-'2026'!H26</f>
        <v>2.554857142857142E-2</v>
      </c>
      <c r="R54" s="145">
        <f>+R62-R74+R67-'2026'!I26</f>
        <v>2.7513846154300914E-2</v>
      </c>
      <c r="S54" s="145">
        <f>+S62-S74+S67-'2026'!J26</f>
        <v>2.9806666666211901E-2</v>
      </c>
      <c r="T54" s="145">
        <f>+T62-T74+T67-'2026'!K26</f>
        <v>3.2516363636363621E-2</v>
      </c>
      <c r="U54" s="145">
        <f>+U62-U74+U67-'2026'!L26</f>
        <v>3.5767999999999966E-2</v>
      </c>
      <c r="V54" s="145">
        <f>+V62-V74+V67-'2026'!M26</f>
        <v>2.9806666666666648E-2</v>
      </c>
      <c r="W54" s="61"/>
      <c r="X54" s="61"/>
      <c r="Y54" s="61"/>
      <c r="Z54" s="61"/>
      <c r="AA54" s="61"/>
      <c r="AB54" s="61"/>
      <c r="AC54" s="61"/>
      <c r="AD54" s="146"/>
      <c r="AE54" s="147"/>
      <c r="AF54" s="18"/>
      <c r="AG54" s="18"/>
      <c r="AH54" s="18"/>
      <c r="AI54" s="18"/>
      <c r="AJ54" s="18"/>
      <c r="AK54" s="18"/>
      <c r="AL54" s="18"/>
      <c r="AM54" s="18"/>
      <c r="AN54" s="18"/>
      <c r="AO54" s="18"/>
    </row>
    <row r="55" spans="1:41">
      <c r="H55" s="34">
        <f>H54+1</f>
        <v>2</v>
      </c>
      <c r="I55" s="18" t="str">
        <f>+I54</f>
        <v>Pšenica</v>
      </c>
      <c r="J55" s="36" t="s">
        <v>116</v>
      </c>
      <c r="K55" s="37"/>
      <c r="L55" s="37"/>
      <c r="M55" s="148"/>
      <c r="N55" s="37"/>
      <c r="O55" s="18" t="e">
        <f>#REF!</f>
        <v>#REF!</v>
      </c>
      <c r="Q55" s="149" t="e">
        <f>#REF!</f>
        <v>#REF!</v>
      </c>
      <c r="R55" s="149" t="e">
        <f>#REF!</f>
        <v>#REF!</v>
      </c>
      <c r="S55" s="149" t="e">
        <f>#REF!</f>
        <v>#REF!</v>
      </c>
      <c r="T55" s="149" t="e">
        <f>#REF!</f>
        <v>#REF!</v>
      </c>
      <c r="U55" s="149" t="e">
        <f>#REF!</f>
        <v>#REF!</v>
      </c>
      <c r="V55" s="149" t="e">
        <f>#REF!</f>
        <v>#REF!</v>
      </c>
      <c r="X55" s="37"/>
      <c r="Y55" s="37"/>
      <c r="Z55" s="37"/>
      <c r="AA55" s="37"/>
      <c r="AB55" s="37"/>
      <c r="AD55" s="147"/>
      <c r="AE55" s="147"/>
      <c r="AF55" s="18"/>
      <c r="AG55" s="18"/>
      <c r="AH55" s="18"/>
      <c r="AI55" s="18"/>
      <c r="AJ55" s="18"/>
      <c r="AK55" s="18"/>
      <c r="AL55" s="18"/>
      <c r="AM55" s="18"/>
      <c r="AN55" s="18"/>
    </row>
    <row r="56" spans="1:41">
      <c r="F56" s="18" t="e">
        <f>#REF!</f>
        <v>#REF!</v>
      </c>
      <c r="H56" s="34">
        <f t="shared" ref="H56:H90" si="1">H55+1</f>
        <v>3</v>
      </c>
      <c r="I56" s="18" t="str">
        <f>+I55</f>
        <v>Pšenica</v>
      </c>
      <c r="J56" s="40" t="s">
        <v>78</v>
      </c>
      <c r="K56" s="18" t="s">
        <v>46</v>
      </c>
      <c r="L56" s="102"/>
      <c r="M56" s="150"/>
      <c r="N56" s="144"/>
      <c r="O56" s="102" t="e">
        <f>+O50</f>
        <v>#REF!</v>
      </c>
      <c r="Q56" s="102"/>
      <c r="R56" s="151"/>
      <c r="S56" s="102" t="e">
        <f>+O56</f>
        <v>#REF!</v>
      </c>
      <c r="T56" s="102"/>
      <c r="U56" s="102"/>
      <c r="V56" s="102"/>
      <c r="X56" s="144" t="s">
        <v>74</v>
      </c>
      <c r="Y56" s="102"/>
      <c r="Z56" s="102"/>
      <c r="AA56" s="102"/>
      <c r="AB56" s="102"/>
      <c r="AC56" s="107"/>
      <c r="AD56" s="147"/>
      <c r="AE56" s="147"/>
      <c r="AF56" s="18"/>
      <c r="AG56" s="18"/>
      <c r="AH56" s="18"/>
      <c r="AI56" s="18"/>
      <c r="AJ56" s="18"/>
      <c r="AK56" s="18"/>
      <c r="AL56" s="18"/>
      <c r="AM56" s="18"/>
      <c r="AN56" s="18"/>
    </row>
    <row r="57" spans="1:41">
      <c r="G57" s="111"/>
      <c r="H57" s="34">
        <f t="shared" si="1"/>
        <v>4</v>
      </c>
      <c r="I57" s="18" t="str">
        <f>+I56</f>
        <v>Pšenica</v>
      </c>
      <c r="J57" s="17" t="s">
        <v>65</v>
      </c>
      <c r="L57" s="102"/>
      <c r="M57" s="150"/>
      <c r="N57" s="144"/>
      <c r="Q57" s="102" t="s">
        <v>64</v>
      </c>
      <c r="R57" s="102" t="s">
        <v>63</v>
      </c>
      <c r="S57" s="102" t="s">
        <v>62</v>
      </c>
      <c r="T57" s="102" t="s">
        <v>61</v>
      </c>
      <c r="U57" s="102" t="s">
        <v>76</v>
      </c>
      <c r="V57" s="102" t="s">
        <v>125</v>
      </c>
      <c r="X57" s="102" t="s">
        <v>64</v>
      </c>
      <c r="Y57" s="102" t="s">
        <v>62</v>
      </c>
      <c r="Z57" s="102" t="s">
        <v>61</v>
      </c>
      <c r="AA57" s="102" t="s">
        <v>76</v>
      </c>
      <c r="AB57" s="102" t="s">
        <v>125</v>
      </c>
      <c r="AC57" s="107"/>
      <c r="AD57" s="62"/>
      <c r="AE57" s="62"/>
      <c r="AF57" s="18"/>
      <c r="AG57" s="18"/>
      <c r="AH57" s="18"/>
      <c r="AI57" s="18"/>
      <c r="AJ57" s="18"/>
      <c r="AK57" s="18"/>
      <c r="AL57" s="18"/>
      <c r="AM57" s="18"/>
      <c r="AN57" s="18"/>
    </row>
    <row r="58" spans="1:41">
      <c r="A58" s="49" t="s">
        <v>9</v>
      </c>
      <c r="G58" s="111"/>
      <c r="H58" s="34">
        <f t="shared" si="1"/>
        <v>5</v>
      </c>
      <c r="I58" s="18" t="str">
        <f>+I56</f>
        <v>Pšenica</v>
      </c>
      <c r="J58" s="17" t="s">
        <v>8</v>
      </c>
      <c r="K58" s="18" t="s">
        <v>7</v>
      </c>
      <c r="L58" s="152"/>
      <c r="M58" s="153" t="e">
        <f>O58-#REF!</f>
        <v>#REF!</v>
      </c>
      <c r="N58" s="154"/>
      <c r="O58" s="41">
        <v>6000</v>
      </c>
      <c r="P58" s="50"/>
      <c r="Q58" s="41">
        <v>7000</v>
      </c>
      <c r="R58" s="41">
        <v>6500</v>
      </c>
      <c r="S58" s="41">
        <v>6000</v>
      </c>
      <c r="T58" s="41">
        <v>5500</v>
      </c>
      <c r="U58" s="41">
        <v>5000</v>
      </c>
      <c r="V58" s="41">
        <v>6000</v>
      </c>
      <c r="X58" s="206">
        <f>Q58/$S58*100</f>
        <v>116.66666666666667</v>
      </c>
      <c r="Y58" s="206">
        <f t="shared" ref="Y58:Y59" si="2">R58/$S58*100</f>
        <v>108.33333333333333</v>
      </c>
      <c r="Z58" s="206">
        <f>T58/$S58*100</f>
        <v>91.666666666666657</v>
      </c>
      <c r="AA58" s="206">
        <f t="shared" ref="AA58:AB59" si="3">U58/$S58*100</f>
        <v>83.333333333333343</v>
      </c>
      <c r="AB58" s="206">
        <f t="shared" si="3"/>
        <v>100</v>
      </c>
      <c r="AC58" s="107"/>
      <c r="AD58" s="107"/>
      <c r="AE58" s="107"/>
      <c r="AF58" s="18"/>
      <c r="AG58" s="18"/>
      <c r="AH58" s="18"/>
      <c r="AI58" s="18"/>
      <c r="AJ58" s="18"/>
      <c r="AK58" s="18"/>
      <c r="AL58" s="18"/>
      <c r="AM58" s="18"/>
      <c r="AN58" s="18"/>
    </row>
    <row r="59" spans="1:41">
      <c r="A59" s="49" t="s">
        <v>75</v>
      </c>
      <c r="G59" s="111"/>
      <c r="H59" s="34">
        <f t="shared" si="1"/>
        <v>6</v>
      </c>
      <c r="I59" s="18" t="str">
        <f>+I56</f>
        <v>Pšenica</v>
      </c>
      <c r="J59" s="17" t="s">
        <v>4</v>
      </c>
      <c r="K59" s="18" t="s">
        <v>7</v>
      </c>
      <c r="L59" s="156"/>
      <c r="M59" s="157"/>
      <c r="O59" s="158">
        <v>3000</v>
      </c>
      <c r="Q59" s="159">
        <v>3500</v>
      </c>
      <c r="R59" s="159">
        <v>3250</v>
      </c>
      <c r="S59" s="159">
        <v>3000</v>
      </c>
      <c r="T59" s="159">
        <v>2750</v>
      </c>
      <c r="U59" s="159">
        <v>2500</v>
      </c>
      <c r="V59" s="159">
        <v>3000</v>
      </c>
      <c r="X59" s="207">
        <f t="shared" ref="X59" si="4">Q59/$S59*100</f>
        <v>116.66666666666667</v>
      </c>
      <c r="Y59" s="207">
        <f t="shared" si="2"/>
        <v>108.33333333333333</v>
      </c>
      <c r="Z59" s="207">
        <f t="shared" ref="Z59" si="5">T59/$S59*100</f>
        <v>91.666666666666657</v>
      </c>
      <c r="AA59" s="207">
        <f t="shared" si="3"/>
        <v>83.333333333333343</v>
      </c>
      <c r="AB59" s="207">
        <f t="shared" si="3"/>
        <v>100</v>
      </c>
      <c r="AC59" s="107"/>
      <c r="AD59" s="42"/>
      <c r="AE59" s="42"/>
      <c r="AF59" s="17"/>
      <c r="AG59" s="17"/>
      <c r="AH59" s="17"/>
      <c r="AI59" s="17"/>
      <c r="AJ59" s="17"/>
      <c r="AK59" s="17"/>
      <c r="AL59" s="17"/>
      <c r="AM59" s="17"/>
      <c r="AN59" s="17"/>
    </row>
    <row r="60" spans="1:41">
      <c r="A60" s="49" t="s">
        <v>72</v>
      </c>
      <c r="G60" s="111"/>
      <c r="H60" s="34">
        <f t="shared" si="1"/>
        <v>7</v>
      </c>
      <c r="I60" s="18" t="str">
        <f>+I57</f>
        <v>Pšenica</v>
      </c>
      <c r="J60" s="17" t="s">
        <v>135</v>
      </c>
      <c r="K60" s="18" t="s">
        <v>70</v>
      </c>
      <c r="L60" s="102"/>
      <c r="M60" s="150"/>
      <c r="N60" s="144"/>
      <c r="O60" s="158">
        <v>1</v>
      </c>
      <c r="Q60" s="159">
        <v>1</v>
      </c>
      <c r="R60" s="159">
        <v>1</v>
      </c>
      <c r="S60" s="159">
        <v>1</v>
      </c>
      <c r="T60" s="159">
        <v>1</v>
      </c>
      <c r="U60" s="159">
        <v>1</v>
      </c>
      <c r="V60" s="159">
        <v>5</v>
      </c>
      <c r="X60" s="207">
        <f t="shared" ref="X60:X75" si="6">Q60/$S60*100</f>
        <v>100</v>
      </c>
      <c r="Y60" s="207">
        <f t="shared" ref="Y60:Y75" si="7">R60/$S60*100</f>
        <v>100</v>
      </c>
      <c r="Z60" s="207">
        <f t="shared" ref="Z60:Z75" si="8">T60/$S60*100</f>
        <v>100</v>
      </c>
      <c r="AA60" s="207">
        <f t="shared" ref="AA60:AA75" si="9">U60/$S60*100</f>
        <v>100</v>
      </c>
      <c r="AB60" s="207">
        <f t="shared" ref="AB60:AB75" si="10">V60/$S60*100</f>
        <v>500</v>
      </c>
      <c r="AC60" s="107"/>
      <c r="AD60" s="43"/>
      <c r="AE60" s="43"/>
      <c r="AF60" s="18"/>
      <c r="AG60" s="18"/>
      <c r="AH60" s="18"/>
      <c r="AI60" s="18"/>
      <c r="AJ60" s="18"/>
      <c r="AK60" s="18"/>
      <c r="AL60" s="18"/>
      <c r="AM60" s="18"/>
      <c r="AN60" s="18"/>
    </row>
    <row r="61" spans="1:41">
      <c r="A61" s="112" t="s">
        <v>12</v>
      </c>
      <c r="G61" s="111"/>
      <c r="H61" s="34">
        <f t="shared" si="1"/>
        <v>8</v>
      </c>
      <c r="I61" s="18" t="str">
        <f>+I58</f>
        <v>Pšenica</v>
      </c>
      <c r="J61" s="106" t="s">
        <v>12</v>
      </c>
      <c r="K61" s="160" t="s">
        <v>18</v>
      </c>
      <c r="L61" s="161"/>
      <c r="M61" s="161"/>
      <c r="N61" s="160"/>
      <c r="O61" s="162">
        <v>1569.0872414921675</v>
      </c>
      <c r="P61" s="160"/>
      <c r="Q61" s="163">
        <v>1769.015952916629</v>
      </c>
      <c r="R61" s="163">
        <v>1678.8857177779801</v>
      </c>
      <c r="S61" s="163">
        <v>1569.0872414921675</v>
      </c>
      <c r="T61" s="163">
        <v>1494.3399415752692</v>
      </c>
      <c r="U61" s="163">
        <v>1417.6066038215447</v>
      </c>
      <c r="V61" s="163">
        <v>1539.2878859009911</v>
      </c>
      <c r="X61" s="206">
        <f t="shared" si="6"/>
        <v>112.74172054540024</v>
      </c>
      <c r="Y61" s="206">
        <f t="shared" si="7"/>
        <v>106.99760175102797</v>
      </c>
      <c r="Z61" s="206">
        <f t="shared" si="8"/>
        <v>95.236255962044837</v>
      </c>
      <c r="AA61" s="206">
        <f t="shared" si="9"/>
        <v>90.345939112565333</v>
      </c>
      <c r="AB61" s="206">
        <f t="shared" si="10"/>
        <v>98.100847753829299</v>
      </c>
      <c r="AC61" s="156"/>
      <c r="AD61" s="43"/>
      <c r="AE61" s="43"/>
      <c r="AF61" s="18"/>
      <c r="AG61" s="18"/>
      <c r="AH61" s="18"/>
      <c r="AI61" s="18"/>
      <c r="AJ61" s="18"/>
      <c r="AK61" s="18"/>
      <c r="AL61" s="18"/>
      <c r="AM61" s="18"/>
      <c r="AN61" s="18"/>
    </row>
    <row r="62" spans="1:41" s="17" customFormat="1">
      <c r="A62" s="49" t="s">
        <v>5</v>
      </c>
      <c r="B62" s="49"/>
      <c r="C62" s="49"/>
      <c r="D62" s="49"/>
      <c r="E62" s="49"/>
      <c r="F62" s="18"/>
      <c r="G62" s="111"/>
      <c r="H62" s="34">
        <f t="shared" si="1"/>
        <v>9</v>
      </c>
      <c r="I62" s="18" t="str">
        <f t="shared" ref="I62:I67" si="11">+I60</f>
        <v>Pšenica</v>
      </c>
      <c r="J62" s="17" t="s">
        <v>35</v>
      </c>
      <c r="K62" s="18" t="s">
        <v>18</v>
      </c>
      <c r="L62" s="164"/>
      <c r="M62" s="165"/>
      <c r="N62" s="164"/>
      <c r="O62" s="158">
        <v>2175.8263222066303</v>
      </c>
      <c r="P62" s="62"/>
      <c r="Q62" s="158">
        <v>2427.4842716107451</v>
      </c>
      <c r="R62" s="158">
        <v>2322.3744606604332</v>
      </c>
      <c r="S62" s="158">
        <v>2175.8263222066303</v>
      </c>
      <c r="T62" s="158">
        <v>2079.5820733326082</v>
      </c>
      <c r="U62" s="158">
        <v>1973.2201866066359</v>
      </c>
      <c r="V62" s="158">
        <v>2074.9321167285489</v>
      </c>
      <c r="W62" s="18"/>
      <c r="X62" s="207">
        <f t="shared" si="6"/>
        <v>111.56608626505142</v>
      </c>
      <c r="Y62" s="207">
        <f t="shared" si="7"/>
        <v>106.73528658781828</v>
      </c>
      <c r="Z62" s="207">
        <f t="shared" si="8"/>
        <v>95.57665757180402</v>
      </c>
      <c r="AA62" s="207">
        <f t="shared" si="9"/>
        <v>90.688313054576895</v>
      </c>
      <c r="AB62" s="207">
        <f t="shared" si="10"/>
        <v>95.362947655869945</v>
      </c>
      <c r="AC62" s="164"/>
      <c r="AD62" s="43"/>
      <c r="AE62" s="43"/>
      <c r="AF62" s="18"/>
      <c r="AG62" s="18"/>
      <c r="AH62" s="18"/>
      <c r="AI62" s="18"/>
      <c r="AJ62" s="18"/>
      <c r="AK62" s="18"/>
      <c r="AL62" s="18"/>
      <c r="AM62" s="18"/>
      <c r="AN62" s="18"/>
      <c r="AO62" s="166"/>
    </row>
    <row r="63" spans="1:41">
      <c r="A63" s="49" t="s">
        <v>4</v>
      </c>
      <c r="G63" s="111"/>
      <c r="H63" s="34">
        <f t="shared" si="1"/>
        <v>10</v>
      </c>
      <c r="I63" s="18" t="str">
        <f t="shared" si="11"/>
        <v>Pšenica</v>
      </c>
      <c r="J63" s="18" t="s">
        <v>4</v>
      </c>
      <c r="K63" s="18" t="s">
        <v>18</v>
      </c>
      <c r="L63" s="164"/>
      <c r="M63" s="165"/>
      <c r="N63" s="62"/>
      <c r="O63" s="158">
        <v>363.11499744392768</v>
      </c>
      <c r="Q63" s="159">
        <v>418.71639020005762</v>
      </c>
      <c r="R63" s="159">
        <v>390.9156938219927</v>
      </c>
      <c r="S63" s="159">
        <v>363.11499744392768</v>
      </c>
      <c r="T63" s="159">
        <v>325.47875409681342</v>
      </c>
      <c r="U63" s="159">
        <v>297.67805771874845</v>
      </c>
      <c r="V63" s="159">
        <v>363.11499744392768</v>
      </c>
      <c r="X63" s="207">
        <f t="shared" si="6"/>
        <v>115.31233717899958</v>
      </c>
      <c r="Y63" s="207">
        <f t="shared" si="7"/>
        <v>107.6561685894998</v>
      </c>
      <c r="Z63" s="207">
        <f t="shared" si="8"/>
        <v>89.635172435166069</v>
      </c>
      <c r="AA63" s="207">
        <f t="shared" si="9"/>
        <v>81.97900384566627</v>
      </c>
      <c r="AB63" s="207">
        <f t="shared" si="10"/>
        <v>100</v>
      </c>
      <c r="AC63" s="62"/>
      <c r="AD63" s="43"/>
      <c r="AE63" s="43"/>
      <c r="AF63" s="18"/>
      <c r="AG63" s="18"/>
      <c r="AH63" s="18"/>
      <c r="AI63" s="18"/>
      <c r="AJ63" s="18"/>
      <c r="AK63" s="18"/>
      <c r="AL63" s="18"/>
      <c r="AM63" s="18"/>
      <c r="AN63" s="18"/>
    </row>
    <row r="64" spans="1:41">
      <c r="G64" s="111"/>
      <c r="H64" s="34">
        <f t="shared" si="1"/>
        <v>11</v>
      </c>
      <c r="I64" s="18" t="str">
        <f t="shared" si="11"/>
        <v>Pšenica</v>
      </c>
      <c r="J64" s="38" t="s">
        <v>34</v>
      </c>
      <c r="K64" s="38" t="s">
        <v>18</v>
      </c>
      <c r="L64" s="119"/>
      <c r="M64" s="167"/>
      <c r="N64" s="119"/>
      <c r="O64" s="168">
        <f>+O62-O63</f>
        <v>1812.7113247627026</v>
      </c>
      <c r="Q64" s="169">
        <f t="shared" ref="Q64:V64" si="12">+Q62-Q63</f>
        <v>2008.7678814106876</v>
      </c>
      <c r="R64" s="169">
        <f t="shared" si="12"/>
        <v>1931.4587668384406</v>
      </c>
      <c r="S64" s="169">
        <f t="shared" si="12"/>
        <v>1812.7113247627026</v>
      </c>
      <c r="T64" s="169">
        <f t="shared" si="12"/>
        <v>1754.1033192357947</v>
      </c>
      <c r="U64" s="169">
        <f t="shared" si="12"/>
        <v>1675.5421288878874</v>
      </c>
      <c r="V64" s="169">
        <f t="shared" si="12"/>
        <v>1711.8171192846212</v>
      </c>
      <c r="X64" s="207">
        <f t="shared" si="6"/>
        <v>110.81565244116574</v>
      </c>
      <c r="Y64" s="207">
        <f t="shared" si="7"/>
        <v>106.55081923158851</v>
      </c>
      <c r="Z64" s="207">
        <f t="shared" si="8"/>
        <v>96.766831832168307</v>
      </c>
      <c r="AA64" s="207">
        <f t="shared" si="9"/>
        <v>92.4329266331046</v>
      </c>
      <c r="AB64" s="207">
        <f t="shared" si="10"/>
        <v>94.434072094116289</v>
      </c>
      <c r="AC64" s="62"/>
      <c r="AD64" s="43"/>
      <c r="AE64" s="43"/>
      <c r="AF64" s="18"/>
      <c r="AG64" s="18"/>
      <c r="AH64" s="18"/>
      <c r="AI64" s="18"/>
      <c r="AJ64" s="18"/>
      <c r="AK64" s="18"/>
      <c r="AL64" s="18"/>
      <c r="AM64" s="18"/>
      <c r="AN64" s="18"/>
    </row>
    <row r="65" spans="1:41">
      <c r="A65" s="49" t="s">
        <v>3</v>
      </c>
      <c r="B65" s="49" t="s">
        <v>0</v>
      </c>
      <c r="C65" s="49" t="s">
        <v>2</v>
      </c>
      <c r="D65" s="49" t="s">
        <v>1</v>
      </c>
      <c r="E65" s="49" t="s">
        <v>0</v>
      </c>
      <c r="G65" s="111"/>
      <c r="H65" s="34">
        <f t="shared" si="1"/>
        <v>12</v>
      </c>
      <c r="I65" s="18" t="str">
        <f t="shared" si="11"/>
        <v>Pšenica</v>
      </c>
      <c r="J65" s="18" t="s">
        <v>33</v>
      </c>
      <c r="K65" s="18" t="s">
        <v>18</v>
      </c>
      <c r="L65" s="62"/>
      <c r="M65" s="167"/>
      <c r="N65" s="62"/>
      <c r="O65" s="159">
        <v>23.94</v>
      </c>
      <c r="Q65" s="158">
        <v>23.94</v>
      </c>
      <c r="R65" s="158">
        <v>23.94</v>
      </c>
      <c r="S65" s="158">
        <v>23.94</v>
      </c>
      <c r="T65" s="158">
        <v>23.94</v>
      </c>
      <c r="U65" s="158">
        <v>23.94</v>
      </c>
      <c r="V65" s="158">
        <v>23.94</v>
      </c>
      <c r="X65" s="207">
        <f t="shared" si="6"/>
        <v>100</v>
      </c>
      <c r="Y65" s="207">
        <f t="shared" si="7"/>
        <v>100</v>
      </c>
      <c r="Z65" s="207">
        <f t="shared" si="8"/>
        <v>100</v>
      </c>
      <c r="AA65" s="207">
        <f t="shared" si="9"/>
        <v>100</v>
      </c>
      <c r="AB65" s="207">
        <f t="shared" si="10"/>
        <v>100</v>
      </c>
      <c r="AC65" s="62"/>
      <c r="AD65" s="43"/>
      <c r="AE65" s="43"/>
      <c r="AF65" s="18"/>
      <c r="AG65" s="18"/>
      <c r="AH65" s="18"/>
      <c r="AI65" s="18"/>
      <c r="AJ65" s="18"/>
      <c r="AK65" s="18"/>
      <c r="AL65" s="18"/>
      <c r="AM65" s="18"/>
      <c r="AN65" s="18"/>
    </row>
    <row r="66" spans="1:41">
      <c r="G66" s="111"/>
      <c r="H66" s="34">
        <f t="shared" si="1"/>
        <v>13</v>
      </c>
      <c r="I66" s="18" t="str">
        <f t="shared" si="11"/>
        <v>Pšenica</v>
      </c>
      <c r="J66" s="38" t="s">
        <v>32</v>
      </c>
      <c r="K66" s="38" t="s">
        <v>18</v>
      </c>
      <c r="L66" s="119"/>
      <c r="M66" s="167"/>
      <c r="N66" s="119"/>
      <c r="O66" s="170">
        <f>+O64-O65</f>
        <v>1788.7713247627025</v>
      </c>
      <c r="Q66" s="171">
        <f t="shared" ref="Q66:V66" si="13">+Q64-Q65</f>
        <v>1984.8278814106875</v>
      </c>
      <c r="R66" s="171">
        <f t="shared" si="13"/>
        <v>1907.5187668384406</v>
      </c>
      <c r="S66" s="171">
        <f t="shared" si="13"/>
        <v>1788.7713247627025</v>
      </c>
      <c r="T66" s="171">
        <f t="shared" si="13"/>
        <v>1730.1633192357947</v>
      </c>
      <c r="U66" s="171">
        <f t="shared" si="13"/>
        <v>1651.6021288878874</v>
      </c>
      <c r="V66" s="171">
        <f t="shared" si="13"/>
        <v>1687.8771192846211</v>
      </c>
      <c r="X66" s="207">
        <f t="shared" si="6"/>
        <v>110.96040359848645</v>
      </c>
      <c r="Y66" s="207">
        <f t="shared" si="7"/>
        <v>106.63849204377709</v>
      </c>
      <c r="Z66" s="207">
        <f t="shared" si="8"/>
        <v>96.723560763996332</v>
      </c>
      <c r="AA66" s="207">
        <f t="shared" si="9"/>
        <v>92.331652795641048</v>
      </c>
      <c r="AB66" s="207">
        <f t="shared" si="10"/>
        <v>94.359580563409011</v>
      </c>
      <c r="AC66" s="62"/>
      <c r="AD66" s="43"/>
      <c r="AE66" s="43"/>
      <c r="AF66" s="18"/>
      <c r="AG66" s="18"/>
      <c r="AH66" s="18"/>
      <c r="AI66" s="18"/>
      <c r="AJ66" s="18"/>
      <c r="AK66" s="18"/>
      <c r="AL66" s="18"/>
      <c r="AM66" s="18"/>
      <c r="AN66" s="18"/>
    </row>
    <row r="67" spans="1:41">
      <c r="G67" s="111"/>
      <c r="H67" s="34">
        <f t="shared" si="1"/>
        <v>14</v>
      </c>
      <c r="I67" s="18" t="str">
        <f t="shared" si="11"/>
        <v>Pšenica</v>
      </c>
      <c r="J67" s="105" t="s">
        <v>31</v>
      </c>
      <c r="K67" s="172" t="s">
        <v>29</v>
      </c>
      <c r="L67" s="173"/>
      <c r="M67" s="174"/>
      <c r="N67" s="175"/>
      <c r="O67" s="176">
        <f>+O66/O58</f>
        <v>0.29812855412711708</v>
      </c>
      <c r="Q67" s="177">
        <f t="shared" ref="Q67:V67" si="14">+Q66/Q58</f>
        <v>0.28354684020152676</v>
      </c>
      <c r="R67" s="177">
        <f t="shared" si="14"/>
        <v>0.2934644256674524</v>
      </c>
      <c r="S67" s="177">
        <f t="shared" si="14"/>
        <v>0.29812855412711708</v>
      </c>
      <c r="T67" s="177">
        <f t="shared" si="14"/>
        <v>0.31457514895196265</v>
      </c>
      <c r="U67" s="177">
        <f t="shared" si="14"/>
        <v>0.33032042577757748</v>
      </c>
      <c r="V67" s="177">
        <f t="shared" si="14"/>
        <v>0.28131285321410354</v>
      </c>
      <c r="X67" s="176">
        <f t="shared" si="6"/>
        <v>95.108917370131223</v>
      </c>
      <c r="Y67" s="176">
        <f t="shared" si="7"/>
        <v>98.435531117332701</v>
      </c>
      <c r="Z67" s="176">
        <f t="shared" si="8"/>
        <v>105.51661174254143</v>
      </c>
      <c r="AA67" s="176">
        <f t="shared" si="9"/>
        <v>110.79798335476927</v>
      </c>
      <c r="AB67" s="176">
        <f t="shared" si="10"/>
        <v>94.359580563409025</v>
      </c>
      <c r="AC67" s="62"/>
      <c r="AD67" s="42"/>
      <c r="AE67" s="42"/>
      <c r="AF67" s="17"/>
      <c r="AG67" s="17"/>
      <c r="AH67" s="17"/>
      <c r="AI67" s="17"/>
      <c r="AJ67" s="17"/>
      <c r="AK67" s="17"/>
      <c r="AL67" s="17"/>
      <c r="AM67" s="17"/>
      <c r="AN67" s="17"/>
    </row>
    <row r="68" spans="1:41">
      <c r="A68" s="49" t="s">
        <v>136</v>
      </c>
      <c r="G68" s="111"/>
      <c r="H68" s="34">
        <f t="shared" si="1"/>
        <v>15</v>
      </c>
      <c r="J68" s="18" t="str">
        <f t="shared" ref="J68:J74" si="15">+A68</f>
        <v>davek_a</v>
      </c>
      <c r="L68" s="62"/>
      <c r="M68" s="167"/>
      <c r="N68" s="62"/>
      <c r="O68" s="62">
        <v>23.368254555595311</v>
      </c>
      <c r="Q68" s="35">
        <v>20.597903185906567</v>
      </c>
      <c r="R68" s="35">
        <v>21.486056214316754</v>
      </c>
      <c r="S68" s="35">
        <v>23.368254555595311</v>
      </c>
      <c r="T68" s="35">
        <v>24.545203309388839</v>
      </c>
      <c r="U68" s="35">
        <v>26.145303527614075</v>
      </c>
      <c r="V68" s="35">
        <v>26.2109974660201</v>
      </c>
      <c r="X68" s="207">
        <f t="shared" si="6"/>
        <v>88.14480832063083</v>
      </c>
      <c r="Y68" s="207">
        <f t="shared" si="7"/>
        <v>91.945490251312407</v>
      </c>
      <c r="Z68" s="207">
        <f t="shared" si="8"/>
        <v>105.03652829950758</v>
      </c>
      <c r="AA68" s="207">
        <f t="shared" si="9"/>
        <v>111.88385279444771</v>
      </c>
      <c r="AB68" s="207">
        <f t="shared" si="10"/>
        <v>112.16497750682078</v>
      </c>
      <c r="AC68" s="62"/>
      <c r="AD68" s="43"/>
      <c r="AE68" s="43"/>
      <c r="AF68" s="18"/>
      <c r="AG68" s="18"/>
      <c r="AH68" s="18"/>
      <c r="AI68" s="62"/>
      <c r="AJ68" s="62"/>
      <c r="AK68" s="62"/>
      <c r="AL68" s="62"/>
      <c r="AM68" s="18"/>
      <c r="AN68" s="18"/>
    </row>
    <row r="69" spans="1:41">
      <c r="A69" s="18" t="s">
        <v>92</v>
      </c>
      <c r="G69" s="111"/>
      <c r="H69" s="34">
        <f t="shared" si="1"/>
        <v>16</v>
      </c>
      <c r="J69" s="18" t="str">
        <f t="shared" si="15"/>
        <v>Pokoj obvezno</v>
      </c>
      <c r="L69" s="62"/>
      <c r="M69" s="167"/>
      <c r="N69" s="62"/>
      <c r="O69" s="62">
        <v>35.501741905738839</v>
      </c>
      <c r="Q69" s="35">
        <v>39.202760677956547</v>
      </c>
      <c r="R69" s="35">
        <v>38.041856900910432</v>
      </c>
      <c r="S69" s="35">
        <v>35.501741905738839</v>
      </c>
      <c r="T69" s="35">
        <v>33.937592945026509</v>
      </c>
      <c r="U69" s="35">
        <v>31.79528863268175</v>
      </c>
      <c r="V69" s="35">
        <v>31.530555490133889</v>
      </c>
      <c r="X69" s="207">
        <f t="shared" si="6"/>
        <v>110.42489346591593</v>
      </c>
      <c r="Y69" s="207">
        <f t="shared" si="7"/>
        <v>107.15490243243806</v>
      </c>
      <c r="Z69" s="207">
        <f t="shared" si="8"/>
        <v>95.594162774138454</v>
      </c>
      <c r="AA69" s="207">
        <f t="shared" si="9"/>
        <v>89.559798832130141</v>
      </c>
      <c r="AB69" s="207">
        <f t="shared" si="10"/>
        <v>88.814108259394985</v>
      </c>
      <c r="AC69" s="62"/>
      <c r="AD69" s="42"/>
      <c r="AE69" s="42"/>
      <c r="AF69" s="17"/>
      <c r="AG69" s="17"/>
      <c r="AH69" s="17"/>
      <c r="AI69" s="17"/>
      <c r="AJ69" s="17"/>
      <c r="AK69" s="17"/>
      <c r="AL69" s="17"/>
      <c r="AM69" s="17"/>
      <c r="AN69" s="17"/>
    </row>
    <row r="70" spans="1:41" s="17" customFormat="1">
      <c r="A70" s="18" t="s">
        <v>91</v>
      </c>
      <c r="B70" s="49"/>
      <c r="C70" s="49"/>
      <c r="D70" s="49"/>
      <c r="E70" s="49"/>
      <c r="F70" s="18"/>
      <c r="G70" s="111"/>
      <c r="H70" s="34">
        <f t="shared" si="1"/>
        <v>17</v>
      </c>
      <c r="I70" s="18"/>
      <c r="J70" s="18" t="str">
        <f t="shared" si="15"/>
        <v>Zdrav obvezno</v>
      </c>
      <c r="K70" s="18"/>
      <c r="L70" s="164"/>
      <c r="M70" s="165"/>
      <c r="N70" s="164"/>
      <c r="O70" s="62">
        <v>20.820053801494581</v>
      </c>
      <c r="P70" s="18"/>
      <c r="Q70" s="35">
        <v>22.990522229846768</v>
      </c>
      <c r="R70" s="35">
        <v>22.309708337372633</v>
      </c>
      <c r="S70" s="35">
        <v>20.820053801494581</v>
      </c>
      <c r="T70" s="35">
        <v>19.902756120663931</v>
      </c>
      <c r="U70" s="35">
        <v>18.64639830135981</v>
      </c>
      <c r="V70" s="35">
        <v>18.49114512292368</v>
      </c>
      <c r="W70" s="18"/>
      <c r="X70" s="207">
        <f t="shared" si="6"/>
        <v>110.42489346591591</v>
      </c>
      <c r="Y70" s="207">
        <f t="shared" si="7"/>
        <v>107.15490243243808</v>
      </c>
      <c r="Z70" s="207">
        <f t="shared" si="8"/>
        <v>95.594162774138454</v>
      </c>
      <c r="AA70" s="207">
        <f t="shared" si="9"/>
        <v>89.559798832130127</v>
      </c>
      <c r="AB70" s="207">
        <f t="shared" si="10"/>
        <v>88.814108259394999</v>
      </c>
      <c r="AC70" s="164"/>
      <c r="AD70" s="43"/>
      <c r="AE70" s="43"/>
      <c r="AF70" s="239" t="s">
        <v>137</v>
      </c>
      <c r="AG70" s="240"/>
      <c r="AH70" s="240"/>
      <c r="AI70" s="240"/>
      <c r="AJ70" s="240"/>
      <c r="AK70" s="240"/>
      <c r="AL70" s="240"/>
      <c r="AM70" s="240"/>
      <c r="AN70" s="240"/>
      <c r="AO70" s="166"/>
    </row>
    <row r="71" spans="1:41">
      <c r="A71" s="18" t="s">
        <v>90</v>
      </c>
      <c r="G71" s="111"/>
      <c r="H71" s="34">
        <f t="shared" si="1"/>
        <v>18</v>
      </c>
      <c r="J71" s="18" t="str">
        <f t="shared" si="15"/>
        <v>Pokoj dodatno</v>
      </c>
      <c r="L71" s="62"/>
      <c r="M71" s="167"/>
      <c r="N71" s="62"/>
      <c r="O71" s="62">
        <v>28.343812033446667</v>
      </c>
      <c r="Q71" s="35">
        <v>31.298624242112943</v>
      </c>
      <c r="R71" s="35">
        <v>30.371784130073419</v>
      </c>
      <c r="S71" s="35">
        <v>28.343812033446667</v>
      </c>
      <c r="T71" s="35">
        <v>27.095029811648843</v>
      </c>
      <c r="U71" s="35">
        <v>25.384661038511929</v>
      </c>
      <c r="V71" s="35">
        <v>25.173303904224749</v>
      </c>
      <c r="X71" s="207">
        <f t="shared" si="6"/>
        <v>110.42489346591593</v>
      </c>
      <c r="Y71" s="207">
        <f t="shared" si="7"/>
        <v>107.15490243243808</v>
      </c>
      <c r="Z71" s="207">
        <f t="shared" si="8"/>
        <v>95.594162774138425</v>
      </c>
      <c r="AA71" s="207">
        <f t="shared" si="9"/>
        <v>89.559798832130127</v>
      </c>
      <c r="AB71" s="207">
        <f t="shared" si="10"/>
        <v>88.814108259394999</v>
      </c>
      <c r="AC71" s="62"/>
      <c r="AD71" s="43"/>
      <c r="AE71" s="43"/>
      <c r="AF71" s="108" t="str">
        <f>"letina "&amp;M52&amp;", upoštevani stroški zmanjšani za subvencije"</f>
        <v>letina , upoštevani stroški zmanjšani za subvencije</v>
      </c>
      <c r="AG71" s="18"/>
      <c r="AH71" s="18"/>
      <c r="AI71" s="18"/>
      <c r="AJ71" s="18"/>
      <c r="AK71" s="18"/>
      <c r="AL71" s="18"/>
      <c r="AM71" s="18"/>
      <c r="AN71" s="18"/>
    </row>
    <row r="72" spans="1:41" s="17" customFormat="1">
      <c r="A72" s="18" t="s">
        <v>89</v>
      </c>
      <c r="B72" s="49"/>
      <c r="C72" s="49"/>
      <c r="D72" s="49"/>
      <c r="E72" s="49"/>
      <c r="F72" s="18"/>
      <c r="G72" s="111"/>
      <c r="H72" s="34">
        <f t="shared" si="1"/>
        <v>19</v>
      </c>
      <c r="I72" s="18"/>
      <c r="J72" s="18" t="str">
        <f t="shared" si="15"/>
        <v>Zdrav dodatno</v>
      </c>
      <c r="K72" s="18"/>
      <c r="L72" s="164"/>
      <c r="M72" s="165"/>
      <c r="N72" s="164"/>
      <c r="O72" s="62">
        <v>16.622274282840657</v>
      </c>
      <c r="P72" s="178"/>
      <c r="Q72" s="35">
        <v>18.355128668439132</v>
      </c>
      <c r="R72" s="35">
        <v>17.811581789830147</v>
      </c>
      <c r="S72" s="35">
        <v>16.622274282840657</v>
      </c>
      <c r="T72" s="35">
        <v>15.88992393470245</v>
      </c>
      <c r="U72" s="35">
        <v>14.886875409036993</v>
      </c>
      <c r="V72" s="35">
        <v>14.76292467673567</v>
      </c>
      <c r="W72" s="18"/>
      <c r="X72" s="207">
        <f t="shared" si="6"/>
        <v>110.42489346591591</v>
      </c>
      <c r="Y72" s="207">
        <f t="shared" si="7"/>
        <v>107.15490243243804</v>
      </c>
      <c r="Z72" s="207">
        <f t="shared" si="8"/>
        <v>95.594162774138439</v>
      </c>
      <c r="AA72" s="207">
        <f t="shared" si="9"/>
        <v>89.559798832130127</v>
      </c>
      <c r="AB72" s="207">
        <f t="shared" si="10"/>
        <v>88.81410825939497</v>
      </c>
      <c r="AC72" s="164"/>
      <c r="AD72" s="43"/>
      <c r="AE72" s="43"/>
      <c r="AF72" s="18"/>
      <c r="AG72" s="21"/>
      <c r="AH72" s="21"/>
      <c r="AI72" s="21"/>
      <c r="AJ72" s="21"/>
      <c r="AK72" s="21"/>
      <c r="AL72" s="21"/>
      <c r="AM72" s="21"/>
      <c r="AN72" s="21"/>
      <c r="AO72" s="166"/>
    </row>
    <row r="73" spans="1:41">
      <c r="A73" s="18" t="s">
        <v>88</v>
      </c>
      <c r="H73" s="34">
        <f t="shared" si="1"/>
        <v>20</v>
      </c>
      <c r="J73" s="18" t="str">
        <f t="shared" si="15"/>
        <v>Regresi</v>
      </c>
      <c r="L73" s="62"/>
      <c r="M73" s="167"/>
      <c r="N73" s="62"/>
      <c r="O73" s="62">
        <v>85.187394569297012</v>
      </c>
      <c r="P73" s="35"/>
      <c r="Q73" s="35">
        <v>94.06808969953569</v>
      </c>
      <c r="R73" s="35">
        <v>91.282469535466277</v>
      </c>
      <c r="S73" s="35">
        <v>85.187394569297012</v>
      </c>
      <c r="T73" s="35">
        <v>81.434176627621369</v>
      </c>
      <c r="U73" s="35">
        <v>76.29365920659535</v>
      </c>
      <c r="V73" s="35">
        <v>75.65842483613342</v>
      </c>
      <c r="X73" s="207">
        <f t="shared" si="6"/>
        <v>110.42489346591596</v>
      </c>
      <c r="Y73" s="207">
        <f t="shared" si="7"/>
        <v>107.15490243243808</v>
      </c>
      <c r="Z73" s="207">
        <f t="shared" si="8"/>
        <v>95.594162774138454</v>
      </c>
      <c r="AA73" s="207">
        <f t="shared" si="9"/>
        <v>89.559798832130127</v>
      </c>
      <c r="AB73" s="207">
        <f t="shared" si="10"/>
        <v>88.814108259394999</v>
      </c>
      <c r="AC73" s="62"/>
      <c r="AD73" s="43"/>
      <c r="AE73" s="43"/>
      <c r="AF73" s="18"/>
      <c r="AG73" s="18"/>
      <c r="AH73" s="18"/>
      <c r="AI73" s="18"/>
      <c r="AJ73" s="18"/>
      <c r="AK73" s="18"/>
      <c r="AL73" s="18"/>
      <c r="AM73" s="18"/>
      <c r="AN73" s="18"/>
    </row>
    <row r="74" spans="1:41">
      <c r="A74" s="49" t="s">
        <v>13</v>
      </c>
      <c r="H74" s="34">
        <f t="shared" si="1"/>
        <v>21</v>
      </c>
      <c r="J74" s="18" t="str">
        <f t="shared" si="15"/>
        <v>SUM element</v>
      </c>
      <c r="L74" s="62"/>
      <c r="M74" s="167"/>
      <c r="N74" s="62"/>
      <c r="O74" s="158">
        <v>2175.8263222066307</v>
      </c>
      <c r="P74" s="171"/>
      <c r="Q74" s="159">
        <v>2427.4842716107451</v>
      </c>
      <c r="R74" s="159">
        <v>2322.3744606604328</v>
      </c>
      <c r="S74" s="159">
        <v>2175.8263222066307</v>
      </c>
      <c r="T74" s="159">
        <v>2079.5820733326082</v>
      </c>
      <c r="U74" s="159">
        <v>1973.2201866066359</v>
      </c>
      <c r="V74" s="159">
        <v>2074.9321167285489</v>
      </c>
      <c r="X74" s="206">
        <f t="shared" si="6"/>
        <v>111.5660862650514</v>
      </c>
      <c r="Y74" s="206">
        <f t="shared" si="7"/>
        <v>106.73528658781824</v>
      </c>
      <c r="Z74" s="206">
        <f t="shared" si="8"/>
        <v>95.576657571804006</v>
      </c>
      <c r="AA74" s="206">
        <f t="shared" si="9"/>
        <v>90.688313054576881</v>
      </c>
      <c r="AB74" s="206">
        <f t="shared" si="10"/>
        <v>95.362947655869917</v>
      </c>
      <c r="AC74" s="62"/>
      <c r="AD74" s="43"/>
      <c r="AE74" s="179"/>
      <c r="AF74" s="21"/>
      <c r="AG74" s="21"/>
      <c r="AH74" s="21"/>
      <c r="AI74" s="21"/>
      <c r="AJ74" s="21"/>
      <c r="AK74" s="21"/>
      <c r="AL74" s="21"/>
      <c r="AM74" s="21"/>
      <c r="AN74" s="21"/>
    </row>
    <row r="75" spans="1:41">
      <c r="A75" s="49" t="s">
        <v>3</v>
      </c>
      <c r="B75" s="131" t="s">
        <v>0</v>
      </c>
      <c r="C75" s="49" t="s">
        <v>2</v>
      </c>
      <c r="D75" s="49" t="s">
        <v>1</v>
      </c>
      <c r="E75" s="49" t="s">
        <v>0</v>
      </c>
      <c r="H75" s="34">
        <f t="shared" si="1"/>
        <v>22</v>
      </c>
      <c r="J75" s="180" t="s">
        <v>33</v>
      </c>
      <c r="L75" s="62"/>
      <c r="M75" s="167"/>
      <c r="N75" s="62"/>
      <c r="O75" s="158">
        <v>23.94</v>
      </c>
      <c r="Q75" s="181">
        <v>23.94</v>
      </c>
      <c r="R75" s="181">
        <v>23.94</v>
      </c>
      <c r="S75" s="181">
        <v>23.94</v>
      </c>
      <c r="T75" s="181">
        <v>23.94</v>
      </c>
      <c r="U75" s="181">
        <v>23.94</v>
      </c>
      <c r="V75" s="181">
        <v>23.94</v>
      </c>
      <c r="X75" s="207">
        <f t="shared" si="6"/>
        <v>100</v>
      </c>
      <c r="Y75" s="207">
        <f t="shared" si="7"/>
        <v>100</v>
      </c>
      <c r="Z75" s="207">
        <f t="shared" si="8"/>
        <v>100</v>
      </c>
      <c r="AA75" s="207">
        <f t="shared" si="9"/>
        <v>100</v>
      </c>
      <c r="AB75" s="207">
        <f t="shared" si="10"/>
        <v>100</v>
      </c>
      <c r="AC75" s="62"/>
      <c r="AD75" s="43"/>
      <c r="AE75" s="179"/>
      <c r="AF75" s="21"/>
      <c r="AG75" s="21"/>
      <c r="AH75" s="21"/>
      <c r="AI75" s="21"/>
      <c r="AJ75" s="21"/>
      <c r="AK75" s="21"/>
      <c r="AL75" s="21"/>
      <c r="AM75" s="21"/>
      <c r="AN75" s="21"/>
    </row>
    <row r="76" spans="1:41" ht="13.5" customHeight="1">
      <c r="A76" s="112" t="s">
        <v>14</v>
      </c>
      <c r="H76" s="34">
        <f t="shared" si="1"/>
        <v>23</v>
      </c>
      <c r="J76" s="182" t="s">
        <v>152</v>
      </c>
      <c r="K76" s="18" t="s">
        <v>162</v>
      </c>
      <c r="L76" s="62"/>
      <c r="M76" s="167"/>
      <c r="N76" s="62"/>
      <c r="O76" s="183">
        <v>1110</v>
      </c>
      <c r="P76" s="184"/>
      <c r="Q76" s="183">
        <v>1295</v>
      </c>
      <c r="R76" s="183">
        <v>1202.5</v>
      </c>
      <c r="S76" s="183">
        <v>1110</v>
      </c>
      <c r="T76" s="183">
        <v>1017.5</v>
      </c>
      <c r="U76" s="183">
        <v>925</v>
      </c>
      <c r="V76" s="183">
        <v>1110</v>
      </c>
      <c r="X76" s="155"/>
      <c r="Y76" s="155"/>
      <c r="Z76" s="155"/>
      <c r="AA76" s="155"/>
      <c r="AB76" s="155"/>
      <c r="AC76" s="62"/>
      <c r="AD76" s="42"/>
      <c r="AE76" s="42"/>
      <c r="AF76" s="17"/>
      <c r="AG76" s="17"/>
      <c r="AH76" s="17"/>
      <c r="AI76" s="17"/>
      <c r="AJ76" s="17"/>
      <c r="AK76" s="17"/>
      <c r="AL76" s="17"/>
      <c r="AM76" s="17"/>
      <c r="AN76" s="17"/>
    </row>
    <row r="77" spans="1:41" s="21" customFormat="1">
      <c r="A77" s="49"/>
      <c r="B77" s="49"/>
      <c r="C77" s="49"/>
      <c r="D77" s="49"/>
      <c r="E77" s="49"/>
      <c r="F77" s="18"/>
      <c r="G77" s="51"/>
      <c r="H77" s="34">
        <f t="shared" si="1"/>
        <v>24</v>
      </c>
      <c r="I77" s="18"/>
      <c r="K77" s="46"/>
      <c r="L77" s="185"/>
      <c r="M77" s="186"/>
      <c r="N77" s="179"/>
      <c r="O77" s="187">
        <f>+O62-O75-O76</f>
        <v>1041.8863222066302</v>
      </c>
      <c r="P77" s="18" t="s">
        <v>87</v>
      </c>
      <c r="Q77" s="187">
        <f>+Q62-Q75-Q63</f>
        <v>1984.8278814106875</v>
      </c>
      <c r="R77" s="187">
        <f t="shared" ref="R77:V77" si="16">+R62-R75-R63</f>
        <v>1907.5187668384406</v>
      </c>
      <c r="S77" s="187">
        <f t="shared" si="16"/>
        <v>1788.7713247627025</v>
      </c>
      <c r="T77" s="187">
        <f t="shared" si="16"/>
        <v>1730.1633192357947</v>
      </c>
      <c r="U77" s="187">
        <f t="shared" si="16"/>
        <v>1651.6021288878874</v>
      </c>
      <c r="V77" s="187">
        <f t="shared" si="16"/>
        <v>1687.8771192846211</v>
      </c>
      <c r="W77" s="187"/>
      <c r="X77" s="179"/>
      <c r="Y77" s="179"/>
      <c r="Z77" s="179"/>
      <c r="AA77" s="179"/>
      <c r="AB77" s="179"/>
      <c r="AC77" s="164"/>
      <c r="AD77" s="43"/>
      <c r="AE77" s="43"/>
      <c r="AF77" s="18"/>
      <c r="AG77" s="18"/>
      <c r="AH77" s="18"/>
      <c r="AI77" s="18"/>
      <c r="AJ77" s="18"/>
      <c r="AK77" s="18"/>
      <c r="AL77" s="18"/>
      <c r="AM77" s="18"/>
      <c r="AN77" s="18"/>
      <c r="AO77" s="188"/>
    </row>
    <row r="78" spans="1:41" s="21" customFormat="1">
      <c r="A78" s="49"/>
      <c r="B78" s="49"/>
      <c r="C78" s="49"/>
      <c r="D78" s="49"/>
      <c r="E78" s="49"/>
      <c r="F78" s="18"/>
      <c r="G78" s="46"/>
      <c r="H78" s="34">
        <f t="shared" si="1"/>
        <v>25</v>
      </c>
      <c r="I78" s="18"/>
      <c r="K78" s="46"/>
      <c r="L78" s="185"/>
      <c r="M78" s="186"/>
      <c r="N78" s="179"/>
      <c r="O78" s="187">
        <f>O77-O69-O70</f>
        <v>985.56452649939672</v>
      </c>
      <c r="P78" s="18" t="s">
        <v>86</v>
      </c>
      <c r="Q78" s="187">
        <f t="shared" ref="Q78:V78" si="17">Q77-Q69-Q70</f>
        <v>1922.634598502884</v>
      </c>
      <c r="R78" s="187">
        <f t="shared" si="17"/>
        <v>1847.1672016001573</v>
      </c>
      <c r="S78" s="187">
        <f t="shared" si="17"/>
        <v>1732.4495290554692</v>
      </c>
      <c r="T78" s="187">
        <f t="shared" si="17"/>
        <v>1676.3229701701041</v>
      </c>
      <c r="U78" s="187">
        <f t="shared" si="17"/>
        <v>1601.1604419538457</v>
      </c>
      <c r="V78" s="187">
        <f t="shared" si="17"/>
        <v>1637.8554186715637</v>
      </c>
      <c r="W78" s="187"/>
      <c r="X78" s="179"/>
      <c r="Y78" s="179"/>
      <c r="Z78" s="179"/>
      <c r="AA78" s="179"/>
      <c r="AB78" s="179"/>
      <c r="AC78" s="164"/>
      <c r="AD78" s="43"/>
      <c r="AE78" s="43"/>
      <c r="AF78" s="18"/>
      <c r="AG78" s="18"/>
      <c r="AH78" s="18"/>
      <c r="AI78" s="18"/>
      <c r="AJ78" s="18"/>
      <c r="AK78" s="18"/>
      <c r="AL78" s="18"/>
      <c r="AM78" s="18"/>
      <c r="AN78" s="18"/>
      <c r="AO78" s="188"/>
    </row>
    <row r="79" spans="1:41" s="17" customFormat="1">
      <c r="A79" s="49"/>
      <c r="B79" s="49"/>
      <c r="C79" s="49"/>
      <c r="D79" s="49"/>
      <c r="E79" s="49"/>
      <c r="F79" s="18"/>
      <c r="H79" s="34">
        <f t="shared" si="1"/>
        <v>26</v>
      </c>
      <c r="I79" s="18"/>
      <c r="K79" s="18"/>
      <c r="L79" s="164"/>
      <c r="M79" s="165"/>
      <c r="N79" s="179"/>
      <c r="O79" s="187">
        <f>O78-O71-O72-O73</f>
        <v>855.41104561381246</v>
      </c>
      <c r="P79" s="18" t="s">
        <v>85</v>
      </c>
      <c r="Q79" s="187">
        <f t="shared" ref="Q79:V79" si="18">Q78-Q71-Q72-Q73</f>
        <v>1778.9127558927962</v>
      </c>
      <c r="R79" s="187">
        <f t="shared" si="18"/>
        <v>1707.7013661447875</v>
      </c>
      <c r="S79" s="187">
        <f t="shared" si="18"/>
        <v>1602.2960481698847</v>
      </c>
      <c r="T79" s="187">
        <f t="shared" si="18"/>
        <v>1551.9038397961315</v>
      </c>
      <c r="U79" s="187">
        <f t="shared" si="18"/>
        <v>1484.5952462997016</v>
      </c>
      <c r="V79" s="187">
        <f t="shared" si="18"/>
        <v>1522.26076525447</v>
      </c>
      <c r="W79" s="187"/>
      <c r="X79" s="164"/>
      <c r="Y79" s="164"/>
      <c r="Z79" s="164"/>
      <c r="AA79" s="164"/>
      <c r="AB79" s="164"/>
      <c r="AC79" s="164"/>
      <c r="AD79" s="43"/>
      <c r="AE79" s="43"/>
      <c r="AF79" s="18"/>
      <c r="AG79" s="18"/>
      <c r="AH79" s="18"/>
      <c r="AI79" s="18"/>
      <c r="AJ79" s="18"/>
      <c r="AK79" s="18"/>
      <c r="AL79" s="18"/>
      <c r="AM79" s="18"/>
      <c r="AN79" s="18"/>
      <c r="AO79" s="166"/>
    </row>
    <row r="80" spans="1:41" ht="13.5" customHeight="1">
      <c r="H80" s="34">
        <f t="shared" si="1"/>
        <v>27</v>
      </c>
      <c r="L80" s="62"/>
      <c r="M80" s="167"/>
      <c r="N80" s="62"/>
      <c r="O80" s="189"/>
      <c r="P80" s="184"/>
      <c r="Q80" s="189"/>
      <c r="R80" s="189"/>
      <c r="S80" s="189"/>
      <c r="T80" s="189"/>
      <c r="U80" s="189"/>
      <c r="V80" s="189"/>
      <c r="W80" s="189"/>
      <c r="X80" s="62"/>
      <c r="Y80" s="62"/>
      <c r="Z80" s="62"/>
      <c r="AA80" s="62"/>
      <c r="AB80" s="62"/>
      <c r="AC80" s="164"/>
      <c r="AD80" s="43"/>
      <c r="AE80" s="43"/>
      <c r="AF80" s="18"/>
      <c r="AG80" s="18"/>
      <c r="AH80" s="18"/>
      <c r="AI80" s="18"/>
      <c r="AJ80" s="18"/>
      <c r="AK80" s="18"/>
      <c r="AL80" s="18"/>
      <c r="AM80" s="18"/>
      <c r="AN80" s="18"/>
    </row>
    <row r="81" spans="1:41" ht="12.75" customHeight="1">
      <c r="H81" s="34">
        <f t="shared" si="1"/>
        <v>28</v>
      </c>
      <c r="J81" s="17"/>
      <c r="L81" s="62"/>
      <c r="M81" s="167"/>
      <c r="N81" s="62"/>
      <c r="O81" s="190" t="str">
        <f>+O58&amp;";"&amp;O60</f>
        <v>6000;1</v>
      </c>
      <c r="P81" s="191"/>
      <c r="Q81" s="192" t="str">
        <f>Q58&amp;";"&amp;Q60</f>
        <v>7000;1</v>
      </c>
      <c r="R81" s="192" t="str">
        <f t="shared" ref="R81:V81" si="19">+R58&amp;";"&amp;R60</f>
        <v>6500;1</v>
      </c>
      <c r="S81" s="192" t="str">
        <f t="shared" si="19"/>
        <v>6000;1</v>
      </c>
      <c r="T81" s="192" t="str">
        <f t="shared" si="19"/>
        <v>5500;1</v>
      </c>
      <c r="U81" s="192" t="str">
        <f t="shared" si="19"/>
        <v>5000;1</v>
      </c>
      <c r="V81" s="192" t="str">
        <f t="shared" si="19"/>
        <v>6000;5</v>
      </c>
      <c r="W81" s="190"/>
      <c r="X81" s="62"/>
      <c r="Y81" s="62"/>
      <c r="Z81" s="62"/>
      <c r="AA81" s="62"/>
      <c r="AB81" s="62"/>
      <c r="AC81" s="164"/>
      <c r="AD81" s="43"/>
      <c r="AE81" s="43"/>
      <c r="AF81" s="18"/>
      <c r="AG81" s="18"/>
      <c r="AH81" s="18"/>
      <c r="AI81" s="18"/>
      <c r="AJ81" s="18"/>
      <c r="AK81" s="18"/>
      <c r="AL81" s="18"/>
      <c r="AM81" s="18"/>
      <c r="AN81" s="18"/>
    </row>
    <row r="82" spans="1:41" ht="25.5" customHeight="1">
      <c r="H82" s="34">
        <f t="shared" si="1"/>
        <v>29</v>
      </c>
      <c r="L82" s="62"/>
      <c r="M82" s="167"/>
      <c r="N82" s="62"/>
      <c r="O82" s="193">
        <f>+O77/O58*1000</f>
        <v>173.64772036777171</v>
      </c>
      <c r="P82" s="180" t="s">
        <v>84</v>
      </c>
      <c r="Q82" s="194">
        <f t="shared" ref="Q82:V82" si="20">+Q77/Q58*1000</f>
        <v>283.54684020152678</v>
      </c>
      <c r="R82" s="194">
        <f t="shared" si="20"/>
        <v>293.46442566745242</v>
      </c>
      <c r="S82" s="194">
        <f t="shared" si="20"/>
        <v>298.12855412711707</v>
      </c>
      <c r="T82" s="194">
        <f t="shared" si="20"/>
        <v>314.57514895196266</v>
      </c>
      <c r="U82" s="194">
        <f t="shared" si="20"/>
        <v>330.3204257775775</v>
      </c>
      <c r="V82" s="194">
        <f t="shared" si="20"/>
        <v>281.31285321410354</v>
      </c>
      <c r="W82" s="193"/>
      <c r="X82" s="62"/>
      <c r="Y82" s="62"/>
      <c r="Z82" s="62"/>
      <c r="AA82" s="62"/>
      <c r="AB82" s="62"/>
      <c r="AC82" s="62"/>
      <c r="AD82" s="43"/>
      <c r="AE82" s="43"/>
      <c r="AF82" s="18"/>
      <c r="AG82" s="18"/>
      <c r="AH82" s="18"/>
      <c r="AI82" s="18"/>
      <c r="AJ82" s="18"/>
      <c r="AK82" s="18"/>
      <c r="AL82" s="18"/>
      <c r="AM82" s="18"/>
      <c r="AN82" s="18"/>
    </row>
    <row r="83" spans="1:41">
      <c r="H83" s="34">
        <f t="shared" si="1"/>
        <v>30</v>
      </c>
      <c r="L83" s="62"/>
      <c r="M83" s="167"/>
      <c r="N83" s="62"/>
      <c r="O83" s="193">
        <f>+O82*O78/O77</f>
        <v>164.26075441656613</v>
      </c>
      <c r="P83" s="180" t="s">
        <v>83</v>
      </c>
      <c r="Q83" s="194">
        <f t="shared" ref="Q83:V83" si="21">+Q82*Q78/Q77</f>
        <v>274.66208550041199</v>
      </c>
      <c r="R83" s="194">
        <f t="shared" si="21"/>
        <v>284.17956947694728</v>
      </c>
      <c r="S83" s="194">
        <f t="shared" si="21"/>
        <v>288.74158817591149</v>
      </c>
      <c r="T83" s="194">
        <f t="shared" si="21"/>
        <v>304.78599457638256</v>
      </c>
      <c r="U83" s="194">
        <f t="shared" si="21"/>
        <v>320.23208839076915</v>
      </c>
      <c r="V83" s="194">
        <f t="shared" si="21"/>
        <v>272.97590311192727</v>
      </c>
      <c r="W83" s="193"/>
      <c r="X83" s="62"/>
      <c r="Y83" s="62"/>
      <c r="Z83" s="62"/>
      <c r="AA83" s="62"/>
      <c r="AB83" s="62"/>
      <c r="AC83" s="62"/>
      <c r="AD83" s="42"/>
      <c r="AE83" s="42"/>
      <c r="AF83" s="17"/>
      <c r="AG83" s="17"/>
      <c r="AH83" s="17"/>
      <c r="AI83" s="17"/>
      <c r="AJ83" s="17"/>
      <c r="AK83" s="17"/>
      <c r="AL83" s="17"/>
      <c r="AM83" s="17"/>
      <c r="AN83" s="17"/>
    </row>
    <row r="84" spans="1:41">
      <c r="H84" s="34">
        <f t="shared" si="1"/>
        <v>31</v>
      </c>
      <c r="L84" s="62"/>
      <c r="M84" s="167"/>
      <c r="N84" s="62"/>
      <c r="O84" s="193">
        <f>+O82*O79/O77</f>
        <v>142.56850760230211</v>
      </c>
      <c r="P84" s="180" t="s">
        <v>82</v>
      </c>
      <c r="Q84" s="194">
        <f t="shared" ref="Q84:V84" si="22">+Q82*Q79/Q77</f>
        <v>254.13039369897089</v>
      </c>
      <c r="R84" s="194">
        <f t="shared" si="22"/>
        <v>262.7232870991981</v>
      </c>
      <c r="S84" s="194">
        <f t="shared" si="22"/>
        <v>267.04934136164741</v>
      </c>
      <c r="T84" s="194">
        <f t="shared" si="22"/>
        <v>282.16433450838753</v>
      </c>
      <c r="U84" s="194">
        <f t="shared" si="22"/>
        <v>296.91904925994032</v>
      </c>
      <c r="V84" s="194">
        <f t="shared" si="22"/>
        <v>253.7101275424117</v>
      </c>
      <c r="W84" s="193"/>
      <c r="X84" s="62"/>
      <c r="Y84" s="62"/>
      <c r="Z84" s="62"/>
      <c r="AA84" s="62"/>
      <c r="AB84" s="62"/>
      <c r="AC84" s="62"/>
      <c r="AD84" s="43"/>
      <c r="AE84" s="43"/>
      <c r="AF84" s="18"/>
      <c r="AG84" s="18"/>
      <c r="AH84" s="18"/>
      <c r="AI84" s="18"/>
      <c r="AJ84" s="18"/>
      <c r="AK84" s="18"/>
      <c r="AL84" s="18"/>
      <c r="AM84" s="18"/>
      <c r="AN84" s="18"/>
    </row>
    <row r="85" spans="1:41">
      <c r="H85" s="34">
        <f t="shared" si="1"/>
        <v>32</v>
      </c>
      <c r="L85" s="62"/>
      <c r="M85" s="167"/>
      <c r="N85" s="62"/>
      <c r="O85" s="193">
        <f>+O82-O84</f>
        <v>31.079212765469606</v>
      </c>
      <c r="P85" s="180" t="s">
        <v>81</v>
      </c>
      <c r="Q85" s="194">
        <f t="shared" ref="Q85:V85" si="23">+Q82-Q84</f>
        <v>29.416446502555885</v>
      </c>
      <c r="R85" s="194">
        <f t="shared" si="23"/>
        <v>30.741138568254314</v>
      </c>
      <c r="S85" s="194">
        <f t="shared" si="23"/>
        <v>31.079212765469663</v>
      </c>
      <c r="T85" s="194">
        <f t="shared" si="23"/>
        <v>32.410814443575134</v>
      </c>
      <c r="U85" s="194">
        <f t="shared" si="23"/>
        <v>33.401376517637175</v>
      </c>
      <c r="V85" s="194">
        <f t="shared" si="23"/>
        <v>27.602725671691843</v>
      </c>
      <c r="W85" s="193"/>
      <c r="X85" s="62"/>
      <c r="Y85" s="62"/>
      <c r="Z85" s="62"/>
      <c r="AA85" s="62"/>
      <c r="AB85" s="62"/>
      <c r="AC85" s="62"/>
      <c r="AD85" s="42"/>
      <c r="AE85" s="42"/>
      <c r="AF85" s="17"/>
      <c r="AG85" s="17"/>
      <c r="AH85" s="17"/>
      <c r="AI85" s="17"/>
      <c r="AJ85" s="17"/>
      <c r="AK85" s="17"/>
      <c r="AL85" s="17"/>
      <c r="AM85" s="17"/>
      <c r="AN85" s="17"/>
    </row>
    <row r="86" spans="1:41" s="17" customFormat="1">
      <c r="A86" s="49"/>
      <c r="B86" s="49"/>
      <c r="C86" s="49"/>
      <c r="D86" s="49"/>
      <c r="E86" s="49"/>
      <c r="F86" s="18"/>
      <c r="H86" s="34">
        <f t="shared" si="1"/>
        <v>33</v>
      </c>
      <c r="I86" s="18"/>
      <c r="W86" s="195"/>
      <c r="X86" s="164"/>
      <c r="Y86" s="164"/>
      <c r="Z86" s="164"/>
      <c r="AA86" s="164"/>
      <c r="AB86" s="164"/>
      <c r="AC86" s="164"/>
      <c r="AD86" s="43"/>
      <c r="AE86" s="43"/>
      <c r="AF86" s="239" t="s">
        <v>138</v>
      </c>
      <c r="AG86" s="240"/>
      <c r="AH86" s="240"/>
      <c r="AI86" s="240"/>
      <c r="AJ86" s="240"/>
      <c r="AK86" s="240"/>
      <c r="AL86" s="240"/>
      <c r="AM86" s="240"/>
      <c r="AN86" s="240"/>
      <c r="AO86" s="166"/>
    </row>
    <row r="87" spans="1:41">
      <c r="A87" s="49" t="s">
        <v>15</v>
      </c>
      <c r="F87" s="113">
        <v>1000</v>
      </c>
      <c r="H87" s="34">
        <f t="shared" si="1"/>
        <v>34</v>
      </c>
      <c r="J87" s="196" t="s">
        <v>80</v>
      </c>
      <c r="L87" s="62"/>
      <c r="M87" s="167"/>
      <c r="N87" s="39"/>
      <c r="O87" s="197">
        <v>185</v>
      </c>
      <c r="P87" s="196" t="str">
        <f>J87</f>
        <v>Odkupna cena; vir podatkov SURS; preračuni KIS</v>
      </c>
      <c r="Q87" s="197">
        <v>185</v>
      </c>
      <c r="R87" s="197">
        <v>185</v>
      </c>
      <c r="S87" s="197">
        <v>185</v>
      </c>
      <c r="T87" s="197">
        <v>185</v>
      </c>
      <c r="U87" s="197">
        <v>185</v>
      </c>
      <c r="V87" s="197">
        <v>185</v>
      </c>
      <c r="W87" s="195"/>
      <c r="X87" s="62"/>
      <c r="Y87" s="62"/>
      <c r="Z87" s="62"/>
      <c r="AA87" s="62"/>
      <c r="AB87" s="62"/>
      <c r="AC87" s="62"/>
      <c r="AD87" s="43"/>
      <c r="AE87" s="43"/>
      <c r="AF87" s="108" t="str">
        <f>"letina "&amp;M52</f>
        <v xml:space="preserve">letina </v>
      </c>
      <c r="AG87" s="18"/>
      <c r="AH87" s="18"/>
      <c r="AI87" s="18"/>
      <c r="AJ87" s="18"/>
      <c r="AK87" s="18"/>
      <c r="AL87" s="18"/>
      <c r="AM87" s="18"/>
      <c r="AN87" s="18"/>
    </row>
    <row r="88" spans="1:41" s="17" customFormat="1">
      <c r="A88" s="49"/>
      <c r="B88" s="49"/>
      <c r="C88" s="49"/>
      <c r="D88" s="49"/>
      <c r="E88" s="49"/>
      <c r="F88" s="18"/>
      <c r="H88" s="34">
        <f t="shared" si="1"/>
        <v>35</v>
      </c>
      <c r="I88" s="18"/>
      <c r="J88" s="198" t="s">
        <v>134</v>
      </c>
      <c r="K88" s="18"/>
      <c r="L88" s="164"/>
      <c r="M88" s="165"/>
      <c r="N88" s="164"/>
      <c r="O88" s="199">
        <f>O76+O75+O63-O61</f>
        <v>-72.032244048239818</v>
      </c>
      <c r="P88" s="200"/>
      <c r="Q88" s="199">
        <f t="shared" ref="Q88:V88" si="24">Q76+Q75+Q63-Q61</f>
        <v>-31.359562716571418</v>
      </c>
      <c r="R88" s="199">
        <f t="shared" si="24"/>
        <v>-61.530023955987417</v>
      </c>
      <c r="S88" s="199">
        <f t="shared" si="24"/>
        <v>-72.032244048239818</v>
      </c>
      <c r="T88" s="199">
        <f t="shared" si="24"/>
        <v>-127.42118747845575</v>
      </c>
      <c r="U88" s="199">
        <f t="shared" si="24"/>
        <v>-170.98854610279614</v>
      </c>
      <c r="V88" s="199">
        <f t="shared" si="24"/>
        <v>-42.232888457063382</v>
      </c>
      <c r="W88" s="201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64"/>
      <c r="AK88" s="164"/>
      <c r="AL88" s="164"/>
      <c r="AM88" s="164"/>
      <c r="AN88" s="61"/>
      <c r="AO88" s="166"/>
    </row>
    <row r="89" spans="1:41">
      <c r="A89" s="112" t="s">
        <v>11</v>
      </c>
      <c r="H89" s="34">
        <f t="shared" ref="H89" si="25">H88+1</f>
        <v>36</v>
      </c>
      <c r="J89" s="182" t="s">
        <v>11</v>
      </c>
      <c r="L89" s="62"/>
      <c r="M89" s="167"/>
      <c r="N89" s="62"/>
      <c r="O89" s="202">
        <v>139.13454226234361</v>
      </c>
      <c r="P89" s="203"/>
      <c r="Q89" s="202">
        <v>148.91711284408413</v>
      </c>
      <c r="R89" s="202">
        <v>146.92796675634705</v>
      </c>
      <c r="S89" s="202">
        <v>139.13454226234361</v>
      </c>
      <c r="T89" s="202">
        <v>135.29341354834395</v>
      </c>
      <c r="U89" s="202">
        <v>129.36521108073964</v>
      </c>
      <c r="V89" s="202">
        <v>115.91356246144449</v>
      </c>
      <c r="W89" s="3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1"/>
    </row>
    <row r="90" spans="1:41">
      <c r="G90" s="62"/>
      <c r="H90" s="34">
        <f t="shared" si="1"/>
        <v>37</v>
      </c>
      <c r="J90" s="18" t="s">
        <v>19</v>
      </c>
      <c r="K90" s="46"/>
      <c r="L90" s="62"/>
      <c r="M90" s="167"/>
      <c r="N90" s="62"/>
      <c r="O90" s="51">
        <f>+O88-O89</f>
        <v>-211.16678631058343</v>
      </c>
      <c r="Q90" s="51">
        <f>+Q88-Q89</f>
        <v>-180.27667556065555</v>
      </c>
      <c r="R90" s="51">
        <f t="shared" ref="R90:V90" si="26">+R88-R89</f>
        <v>-208.45799071233446</v>
      </c>
      <c r="S90" s="51">
        <f t="shared" si="26"/>
        <v>-211.16678631058343</v>
      </c>
      <c r="T90" s="51">
        <f t="shared" si="26"/>
        <v>-262.7146010267997</v>
      </c>
      <c r="U90" s="51">
        <f t="shared" si="26"/>
        <v>-300.35375718353578</v>
      </c>
      <c r="V90" s="51">
        <f t="shared" si="26"/>
        <v>-158.14645091850787</v>
      </c>
      <c r="W90" s="32"/>
      <c r="X90" s="62"/>
      <c r="Y90" s="62"/>
      <c r="Z90" s="62"/>
      <c r="AA90" s="62"/>
      <c r="AB90" s="62"/>
      <c r="AC90" s="62"/>
      <c r="AD90" s="102"/>
      <c r="AE90" s="102"/>
      <c r="AF90" s="18"/>
      <c r="AG90" s="18"/>
      <c r="AH90" s="18"/>
      <c r="AI90" s="18"/>
      <c r="AJ90" s="18"/>
      <c r="AK90" s="18"/>
      <c r="AL90" s="18"/>
      <c r="AM90" s="18"/>
      <c r="AN90" s="18"/>
    </row>
    <row r="91" spans="1:41" ht="12" customHeight="1">
      <c r="A91" s="129"/>
      <c r="B91" s="129"/>
      <c r="C91" s="129"/>
      <c r="D91" s="129"/>
      <c r="E91" s="129"/>
      <c r="F91" s="61"/>
      <c r="G91" s="61"/>
      <c r="H91" s="61">
        <f>1</f>
        <v>1</v>
      </c>
      <c r="I91" s="61" t="str">
        <f>+J93</f>
        <v>Ječmen tržni</v>
      </c>
      <c r="J91" s="60" t="s">
        <v>115</v>
      </c>
      <c r="K91" s="61"/>
      <c r="L91" s="61"/>
      <c r="M91" s="61"/>
      <c r="N91" s="61"/>
      <c r="O91" s="145">
        <f>O99-O111+O104-'2026'!E64</f>
        <v>3.2516363636136247E-2</v>
      </c>
      <c r="P91" s="61"/>
      <c r="Q91" s="145">
        <f>Q99-Q111+Q104-'2026'!H64</f>
        <v>2.7513846153846111E-2</v>
      </c>
      <c r="R91" s="145">
        <f>R99-R111+R104-'2026'!I64</f>
        <v>2.9806666666211901E-2</v>
      </c>
      <c r="S91" s="145">
        <f>S99-S111+S104-'2026'!J64</f>
        <v>3.2516363636136247E-2</v>
      </c>
      <c r="T91" s="145">
        <f>T99-T111+T104-'2026'!K64</f>
        <v>3.5767999999317845E-2</v>
      </c>
      <c r="U91" s="145">
        <f>U99-U111+U104-'2026'!L64</f>
        <v>3.9742222221994861E-2</v>
      </c>
      <c r="V91" s="145">
        <f>V99-V111+V104-'2026'!M64</f>
        <v>3.2516363636136247E-2</v>
      </c>
      <c r="W91" s="61"/>
      <c r="X91" s="61"/>
      <c r="Y91" s="61"/>
      <c r="Z91" s="61"/>
      <c r="AA91" s="61"/>
      <c r="AB91" s="61"/>
      <c r="AC91" s="61"/>
      <c r="AD91" s="146"/>
      <c r="AE91" s="147"/>
      <c r="AF91" s="18"/>
      <c r="AG91" s="18"/>
      <c r="AH91" s="18"/>
      <c r="AI91" s="18"/>
      <c r="AJ91" s="18"/>
      <c r="AK91" s="18"/>
      <c r="AL91" s="18"/>
      <c r="AM91" s="18"/>
      <c r="AN91" s="18"/>
      <c r="AO91" s="18"/>
    </row>
    <row r="92" spans="1:41">
      <c r="G92" s="30"/>
      <c r="H92" s="34">
        <f>H91+1</f>
        <v>2</v>
      </c>
      <c r="I92" s="18" t="str">
        <f>+I91</f>
        <v>Ječmen tržni</v>
      </c>
      <c r="J92" s="36" t="s">
        <v>116</v>
      </c>
      <c r="K92" s="37"/>
      <c r="L92" s="37"/>
      <c r="M92" s="148"/>
      <c r="N92" s="37"/>
      <c r="O92" s="204" t="e">
        <f>#REF!</f>
        <v>#REF!</v>
      </c>
      <c r="Q92" s="149" t="e">
        <f>#REF!</f>
        <v>#REF!</v>
      </c>
      <c r="R92" s="149" t="e">
        <f>#REF!</f>
        <v>#REF!</v>
      </c>
      <c r="S92" s="149" t="e">
        <f>#REF!</f>
        <v>#REF!</v>
      </c>
      <c r="T92" s="149" t="e">
        <f>#REF!</f>
        <v>#REF!</v>
      </c>
      <c r="U92" s="149" t="e">
        <f>#REF!</f>
        <v>#REF!</v>
      </c>
      <c r="V92" s="149" t="e">
        <f>#REF!</f>
        <v>#REF!</v>
      </c>
      <c r="W92" s="37"/>
      <c r="X92" s="37"/>
      <c r="Y92" s="37"/>
      <c r="Z92" s="37"/>
      <c r="AA92" s="37"/>
      <c r="AB92" s="37"/>
      <c r="AD92" s="147"/>
      <c r="AE92" s="147"/>
      <c r="AF92" s="18"/>
      <c r="AG92" s="18"/>
      <c r="AH92" s="18"/>
      <c r="AI92" s="18"/>
      <c r="AJ92" s="18"/>
      <c r="AK92" s="18"/>
      <c r="AL92" s="18"/>
      <c r="AM92" s="18"/>
      <c r="AN92" s="18"/>
    </row>
    <row r="93" spans="1:41">
      <c r="F93" s="18" t="e">
        <f>#REF!</f>
        <v>#REF!</v>
      </c>
      <c r="G93" s="30"/>
      <c r="H93" s="34">
        <f t="shared" ref="H93:H127" si="27">H92+1</f>
        <v>3</v>
      </c>
      <c r="I93" s="18" t="str">
        <f>+I92</f>
        <v>Ječmen tržni</v>
      </c>
      <c r="J93" s="40" t="s">
        <v>188</v>
      </c>
      <c r="K93" s="18" t="str">
        <f>+K$56</f>
        <v>Enota</v>
      </c>
      <c r="L93" s="102"/>
      <c r="M93" s="150"/>
      <c r="N93" s="144"/>
      <c r="O93" s="107"/>
      <c r="P93" s="107"/>
      <c r="R93" s="107"/>
      <c r="S93" s="102" t="e">
        <f>+$S$56</f>
        <v>#REF!</v>
      </c>
      <c r="U93" s="107"/>
      <c r="V93" s="107"/>
      <c r="W93" s="107"/>
      <c r="X93" s="144" t="s">
        <v>74</v>
      </c>
      <c r="Y93" s="102"/>
      <c r="Z93" s="102"/>
      <c r="AD93" s="147"/>
      <c r="AE93" s="147"/>
      <c r="AF93" s="18"/>
      <c r="AG93" s="18"/>
      <c r="AH93" s="18"/>
      <c r="AI93" s="18"/>
      <c r="AJ93" s="18"/>
      <c r="AK93" s="18"/>
      <c r="AL93" s="18"/>
      <c r="AM93" s="18"/>
      <c r="AN93" s="18"/>
    </row>
    <row r="94" spans="1:41">
      <c r="G94" s="33"/>
      <c r="H94" s="34">
        <f t="shared" si="27"/>
        <v>4</v>
      </c>
      <c r="I94" s="18" t="str">
        <f>+I93</f>
        <v>Ječmen tržni</v>
      </c>
      <c r="J94" s="17" t="str">
        <f>+J57</f>
        <v>Model</v>
      </c>
      <c r="L94" s="102"/>
      <c r="M94" s="150"/>
      <c r="N94" s="144"/>
      <c r="O94" s="107"/>
      <c r="P94" s="107"/>
      <c r="Q94" s="102" t="s">
        <v>64</v>
      </c>
      <c r="R94" s="102" t="s">
        <v>63</v>
      </c>
      <c r="S94" s="102" t="s">
        <v>62</v>
      </c>
      <c r="T94" s="102" t="s">
        <v>61</v>
      </c>
      <c r="U94" s="102" t="s">
        <v>76</v>
      </c>
      <c r="V94" s="102" t="s">
        <v>125</v>
      </c>
      <c r="W94" s="107"/>
      <c r="X94" s="102" t="str">
        <f>+Q94</f>
        <v>M 1</v>
      </c>
      <c r="Y94" s="102" t="str">
        <f>+R94</f>
        <v>M 2</v>
      </c>
      <c r="Z94" s="102" t="str">
        <f>+T94</f>
        <v>M 4</v>
      </c>
      <c r="AA94" s="102" t="str">
        <f t="shared" ref="AA94:AB94" si="28">+U94</f>
        <v>M5</v>
      </c>
      <c r="AB94" s="102" t="str">
        <f t="shared" si="28"/>
        <v>M6</v>
      </c>
      <c r="AD94" s="147"/>
      <c r="AE94" s="147"/>
      <c r="AF94" s="18"/>
      <c r="AG94" s="18"/>
      <c r="AH94" s="18"/>
      <c r="AI94" s="18"/>
      <c r="AJ94" s="18"/>
      <c r="AK94" s="18"/>
      <c r="AL94" s="18"/>
      <c r="AM94" s="18"/>
      <c r="AN94" s="18"/>
    </row>
    <row r="95" spans="1:41">
      <c r="A95" s="49" t="s">
        <v>9</v>
      </c>
      <c r="G95" s="33"/>
      <c r="H95" s="34">
        <f t="shared" si="27"/>
        <v>5</v>
      </c>
      <c r="I95" s="18" t="str">
        <f>+I94</f>
        <v>Ječmen tržni</v>
      </c>
      <c r="J95" s="17" t="str">
        <f t="shared" ref="J95:J111" si="29">+J58</f>
        <v>Intenzivnost pridelave</v>
      </c>
      <c r="K95" s="18" t="s">
        <v>7</v>
      </c>
      <c r="L95" s="152"/>
      <c r="M95" s="205"/>
      <c r="N95" s="154"/>
      <c r="O95" s="159">
        <v>5500</v>
      </c>
      <c r="Q95" s="159">
        <v>6500</v>
      </c>
      <c r="R95" s="159">
        <v>6000</v>
      </c>
      <c r="S95" s="159">
        <v>5500</v>
      </c>
      <c r="T95" s="159">
        <v>5000</v>
      </c>
      <c r="U95" s="159">
        <v>4500</v>
      </c>
      <c r="V95" s="159">
        <v>5500</v>
      </c>
      <c r="W95" s="102"/>
      <c r="X95" s="206">
        <f>Q95/$S95*100</f>
        <v>118.18181818181819</v>
      </c>
      <c r="Y95" s="206">
        <f t="shared" ref="Y95" si="30">R95/$S95*100</f>
        <v>109.09090909090908</v>
      </c>
      <c r="Z95" s="206">
        <f t="shared" ref="Z95:AB96" si="31">T95/$S95*100</f>
        <v>90.909090909090907</v>
      </c>
      <c r="AA95" s="206">
        <f t="shared" si="31"/>
        <v>81.818181818181827</v>
      </c>
      <c r="AB95" s="206">
        <f t="shared" si="31"/>
        <v>100</v>
      </c>
      <c r="AD95" s="62"/>
      <c r="AE95" s="62"/>
      <c r="AF95" s="18"/>
      <c r="AG95" s="18"/>
      <c r="AH95" s="18"/>
      <c r="AI95" s="18"/>
      <c r="AJ95" s="18"/>
      <c r="AK95" s="18"/>
      <c r="AL95" s="18"/>
      <c r="AM95" s="18"/>
      <c r="AN95" s="18"/>
    </row>
    <row r="96" spans="1:41">
      <c r="A96" s="49" t="s">
        <v>75</v>
      </c>
      <c r="G96" s="33"/>
      <c r="H96" s="34">
        <f t="shared" si="27"/>
        <v>6</v>
      </c>
      <c r="J96" s="17" t="str">
        <f t="shared" si="29"/>
        <v>Stranski pridelki</v>
      </c>
      <c r="K96" s="18" t="s">
        <v>7</v>
      </c>
      <c r="L96" s="152"/>
      <c r="M96" s="205"/>
      <c r="N96" s="154"/>
      <c r="O96" s="159">
        <v>2750</v>
      </c>
      <c r="Q96" s="159">
        <v>3250</v>
      </c>
      <c r="R96" s="159">
        <v>3000</v>
      </c>
      <c r="S96" s="159">
        <v>2750</v>
      </c>
      <c r="T96" s="159">
        <v>2500</v>
      </c>
      <c r="U96" s="159">
        <v>2250</v>
      </c>
      <c r="V96" s="159">
        <v>2750</v>
      </c>
      <c r="W96" s="102"/>
      <c r="X96" s="207">
        <f>Q96/$S96*100</f>
        <v>118.18181818181819</v>
      </c>
      <c r="Y96" s="207">
        <f t="shared" ref="Y96" si="32">R96/$S96*100</f>
        <v>109.09090909090908</v>
      </c>
      <c r="Z96" s="207">
        <f t="shared" si="31"/>
        <v>90.909090909090907</v>
      </c>
      <c r="AA96" s="207">
        <f t="shared" si="31"/>
        <v>81.818181818181827</v>
      </c>
      <c r="AB96" s="207">
        <f t="shared" si="31"/>
        <v>100</v>
      </c>
      <c r="AD96" s="107"/>
      <c r="AE96" s="107"/>
      <c r="AF96" s="18"/>
      <c r="AG96" s="18"/>
      <c r="AH96" s="18"/>
      <c r="AI96" s="18"/>
      <c r="AJ96" s="18"/>
      <c r="AK96" s="18"/>
      <c r="AL96" s="18"/>
      <c r="AM96" s="18"/>
      <c r="AN96" s="18"/>
    </row>
    <row r="97" spans="1:41">
      <c r="A97" s="49" t="s">
        <v>72</v>
      </c>
      <c r="G97" s="33"/>
      <c r="H97" s="34">
        <f t="shared" si="27"/>
        <v>7</v>
      </c>
      <c r="I97" s="18" t="str">
        <f>+I95</f>
        <v>Ječmen tržni</v>
      </c>
      <c r="J97" s="17" t="str">
        <f t="shared" si="29"/>
        <v>Velikost parcele</v>
      </c>
      <c r="K97" s="18" t="s">
        <v>70</v>
      </c>
      <c r="L97" s="102"/>
      <c r="M97" s="150"/>
      <c r="N97" s="144"/>
      <c r="O97" s="159">
        <v>1</v>
      </c>
      <c r="Q97" s="159">
        <v>1</v>
      </c>
      <c r="R97" s="159">
        <v>1</v>
      </c>
      <c r="S97" s="159">
        <v>1</v>
      </c>
      <c r="T97" s="159">
        <v>1</v>
      </c>
      <c r="U97" s="159">
        <v>1</v>
      </c>
      <c r="V97" s="159">
        <v>5</v>
      </c>
      <c r="W97" s="152"/>
      <c r="X97" s="207">
        <f t="shared" ref="X97:X113" si="33">Q97/$S97*100</f>
        <v>100</v>
      </c>
      <c r="Y97" s="207">
        <f t="shared" ref="Y97:Y113" si="34">R97/$S97*100</f>
        <v>100</v>
      </c>
      <c r="Z97" s="207">
        <f t="shared" ref="Z97:AB113" si="35">T97/$S97*100</f>
        <v>100</v>
      </c>
      <c r="AA97" s="207">
        <f t="shared" si="35"/>
        <v>100</v>
      </c>
      <c r="AB97" s="207">
        <f t="shared" si="35"/>
        <v>500</v>
      </c>
      <c r="AD97" s="42"/>
      <c r="AE97" s="42"/>
      <c r="AF97" s="17"/>
      <c r="AG97" s="17"/>
      <c r="AH97" s="17"/>
      <c r="AI97" s="17"/>
      <c r="AJ97" s="17"/>
      <c r="AK97" s="17"/>
      <c r="AL97" s="17"/>
      <c r="AM97" s="17"/>
      <c r="AN97" s="17"/>
    </row>
    <row r="98" spans="1:41">
      <c r="A98" s="112" t="s">
        <v>12</v>
      </c>
      <c r="H98" s="34">
        <f t="shared" si="27"/>
        <v>8</v>
      </c>
      <c r="I98" s="18" t="str">
        <f>+I93</f>
        <v>Ječmen tržni</v>
      </c>
      <c r="J98" s="17" t="str">
        <f t="shared" si="29"/>
        <v>Kupljen material in storitve</v>
      </c>
      <c r="L98" s="62"/>
      <c r="M98" s="167"/>
      <c r="N98" s="62"/>
      <c r="O98" s="159">
        <v>1430.6429717080971</v>
      </c>
      <c r="P98" s="62"/>
      <c r="Q98" s="159">
        <v>1586.1339840946534</v>
      </c>
      <c r="R98" s="159">
        <v>1510.3800929921576</v>
      </c>
      <c r="S98" s="159">
        <v>1430.6429717080971</v>
      </c>
      <c r="T98" s="159">
        <v>1360.1156730173623</v>
      </c>
      <c r="U98" s="159">
        <v>1275.1408048136273</v>
      </c>
      <c r="V98" s="159">
        <v>1377.9052256410894</v>
      </c>
      <c r="W98" s="156"/>
      <c r="X98" s="206">
        <f t="shared" si="33"/>
        <v>110.86861051020367</v>
      </c>
      <c r="Y98" s="206">
        <f t="shared" si="34"/>
        <v>105.57351644406847</v>
      </c>
      <c r="Z98" s="206">
        <f t="shared" si="35"/>
        <v>95.07023764241265</v>
      </c>
      <c r="AA98" s="206">
        <f t="shared" si="35"/>
        <v>89.130609804848092</v>
      </c>
      <c r="AB98" s="206">
        <f t="shared" si="35"/>
        <v>96.313703201292626</v>
      </c>
      <c r="AD98" s="43"/>
      <c r="AE98" s="43"/>
      <c r="AF98" s="18"/>
      <c r="AG98" s="18"/>
      <c r="AH98" s="18"/>
      <c r="AI98" s="18"/>
      <c r="AJ98" s="18"/>
      <c r="AK98" s="18"/>
      <c r="AL98" s="18"/>
      <c r="AM98" s="18"/>
      <c r="AN98" s="18"/>
    </row>
    <row r="99" spans="1:41" s="17" customFormat="1">
      <c r="A99" s="49" t="s">
        <v>5</v>
      </c>
      <c r="B99" s="49"/>
      <c r="C99" s="49"/>
      <c r="D99" s="49"/>
      <c r="E99" s="49"/>
      <c r="F99" s="18"/>
      <c r="G99" s="18"/>
      <c r="H99" s="34">
        <f t="shared" si="27"/>
        <v>9</v>
      </c>
      <c r="I99" s="18" t="str">
        <f t="shared" ref="I99:I104" si="36">+I98</f>
        <v>Ječmen tržni</v>
      </c>
      <c r="J99" s="17" t="str">
        <f t="shared" si="29"/>
        <v>Stroški skupaj</v>
      </c>
      <c r="K99" s="18" t="str">
        <f>+K$62</f>
        <v>EUR/ha</v>
      </c>
      <c r="L99" s="62"/>
      <c r="M99" s="167"/>
      <c r="N99" s="164"/>
      <c r="O99" s="159">
        <v>2046.7234617629422</v>
      </c>
      <c r="P99" s="164"/>
      <c r="Q99" s="159">
        <v>2275.1560215223972</v>
      </c>
      <c r="R99" s="159">
        <v>2162.8462159206347</v>
      </c>
      <c r="S99" s="159">
        <v>2046.7234617629422</v>
      </c>
      <c r="T99" s="159">
        <v>1961.1179954386537</v>
      </c>
      <c r="U99" s="159">
        <v>1834.6204009709497</v>
      </c>
      <c r="V99" s="159">
        <v>1825.0616504961024</v>
      </c>
      <c r="W99" s="201"/>
      <c r="X99" s="207">
        <f t="shared" si="33"/>
        <v>111.1608902730169</v>
      </c>
      <c r="Y99" s="207">
        <f t="shared" si="34"/>
        <v>105.67359276067859</v>
      </c>
      <c r="Z99" s="207">
        <f t="shared" si="35"/>
        <v>95.817438558575347</v>
      </c>
      <c r="AA99" s="207">
        <f t="shared" si="35"/>
        <v>89.636945842732572</v>
      </c>
      <c r="AB99" s="207">
        <f t="shared" si="35"/>
        <v>89.169918877271698</v>
      </c>
      <c r="AD99" s="43"/>
      <c r="AE99" s="43"/>
      <c r="AF99" s="18"/>
      <c r="AG99" s="18"/>
      <c r="AH99" s="18"/>
      <c r="AI99" s="18"/>
      <c r="AJ99" s="18"/>
      <c r="AK99" s="18"/>
      <c r="AL99" s="18"/>
      <c r="AM99" s="18"/>
      <c r="AN99" s="18"/>
      <c r="AO99" s="166"/>
    </row>
    <row r="100" spans="1:41">
      <c r="A100" s="49" t="s">
        <v>4</v>
      </c>
      <c r="H100" s="34">
        <f t="shared" si="27"/>
        <v>10</v>
      </c>
      <c r="I100" s="18" t="str">
        <f t="shared" si="36"/>
        <v>Ječmen tržni</v>
      </c>
      <c r="J100" s="17" t="str">
        <f t="shared" si="29"/>
        <v>Stranski pridelki</v>
      </c>
      <c r="K100" s="18" t="str">
        <f>+K$63</f>
        <v>EUR/ha</v>
      </c>
      <c r="L100" s="62"/>
      <c r="M100" s="167"/>
      <c r="N100" s="62"/>
      <c r="O100" s="159">
        <v>325.47875409681342</v>
      </c>
      <c r="P100" s="62"/>
      <c r="Q100" s="159">
        <v>390.91569382199265</v>
      </c>
      <c r="R100" s="159">
        <v>363.11499744392768</v>
      </c>
      <c r="S100" s="159">
        <v>325.47875409681342</v>
      </c>
      <c r="T100" s="159">
        <v>297.67805771874839</v>
      </c>
      <c r="U100" s="159">
        <v>269.87736134068348</v>
      </c>
      <c r="V100" s="159">
        <v>334.56311321657915</v>
      </c>
      <c r="W100" s="32"/>
      <c r="X100" s="207">
        <f t="shared" si="33"/>
        <v>120.10482678255401</v>
      </c>
      <c r="Y100" s="207">
        <f t="shared" si="34"/>
        <v>111.56334872042659</v>
      </c>
      <c r="Z100" s="207">
        <f t="shared" si="35"/>
        <v>91.458521937872561</v>
      </c>
      <c r="AA100" s="207">
        <f t="shared" si="35"/>
        <v>82.917043875745151</v>
      </c>
      <c r="AB100" s="207">
        <f t="shared" si="35"/>
        <v>102.79107591675971</v>
      </c>
      <c r="AD100" s="43"/>
      <c r="AE100" s="43"/>
      <c r="AF100" s="18"/>
      <c r="AG100" s="18"/>
      <c r="AH100" s="18"/>
      <c r="AI100" s="18"/>
      <c r="AJ100" s="18"/>
      <c r="AK100" s="18"/>
      <c r="AL100" s="18"/>
      <c r="AM100" s="18"/>
      <c r="AN100" s="18"/>
    </row>
    <row r="101" spans="1:41">
      <c r="H101" s="34">
        <f t="shared" si="27"/>
        <v>11</v>
      </c>
      <c r="I101" s="18" t="str">
        <f t="shared" si="36"/>
        <v>Ječmen tržni</v>
      </c>
      <c r="J101" s="17" t="str">
        <f t="shared" si="29"/>
        <v>Stroški glavnega pridelka</v>
      </c>
      <c r="K101" s="18" t="str">
        <f>+K$64</f>
        <v>EUR/ha</v>
      </c>
      <c r="L101" s="119"/>
      <c r="M101" s="167"/>
      <c r="N101" s="119"/>
      <c r="O101" s="169">
        <f>+O99-O100</f>
        <v>1721.2447076661288</v>
      </c>
      <c r="P101" s="62"/>
      <c r="Q101" s="169">
        <f>+Q99-Q100</f>
        <v>1884.2403277004046</v>
      </c>
      <c r="R101" s="169">
        <f t="shared" ref="R101:V101" si="37">+R99-R100</f>
        <v>1799.731218476707</v>
      </c>
      <c r="S101" s="169">
        <f t="shared" si="37"/>
        <v>1721.2447076661288</v>
      </c>
      <c r="T101" s="169">
        <f t="shared" si="37"/>
        <v>1663.4399377199052</v>
      </c>
      <c r="U101" s="169">
        <f t="shared" si="37"/>
        <v>1564.7430396302661</v>
      </c>
      <c r="V101" s="169">
        <f t="shared" si="37"/>
        <v>1490.4985372795231</v>
      </c>
      <c r="W101" s="32"/>
      <c r="X101" s="207">
        <f t="shared" si="33"/>
        <v>109.46963667096963</v>
      </c>
      <c r="Y101" s="207">
        <f t="shared" si="34"/>
        <v>104.55986940503072</v>
      </c>
      <c r="Z101" s="207">
        <f t="shared" si="35"/>
        <v>96.641687861768233</v>
      </c>
      <c r="AA101" s="207">
        <f t="shared" si="35"/>
        <v>90.907645650915811</v>
      </c>
      <c r="AB101" s="207">
        <f t="shared" si="35"/>
        <v>86.59422629688261</v>
      </c>
      <c r="AD101" s="43"/>
      <c r="AE101" s="43"/>
      <c r="AF101" s="18"/>
      <c r="AG101" s="18"/>
      <c r="AH101" s="18"/>
      <c r="AI101" s="18"/>
      <c r="AJ101" s="18"/>
      <c r="AK101" s="18"/>
      <c r="AL101" s="18"/>
      <c r="AM101" s="18"/>
      <c r="AN101" s="18"/>
    </row>
    <row r="102" spans="1:41">
      <c r="A102" s="49" t="s">
        <v>3</v>
      </c>
      <c r="B102" s="131" t="s">
        <v>0</v>
      </c>
      <c r="C102" s="49" t="s">
        <v>2</v>
      </c>
      <c r="D102" s="49" t="s">
        <v>1</v>
      </c>
      <c r="E102" s="49" t="s">
        <v>0</v>
      </c>
      <c r="H102" s="34">
        <f t="shared" si="27"/>
        <v>12</v>
      </c>
      <c r="I102" s="18" t="str">
        <f t="shared" si="36"/>
        <v>Ječmen tržni</v>
      </c>
      <c r="J102" s="17" t="str">
        <f t="shared" si="29"/>
        <v>Subvencije</v>
      </c>
      <c r="K102" s="18" t="str">
        <f>+K$65</f>
        <v>EUR/ha</v>
      </c>
      <c r="L102" s="62"/>
      <c r="M102" s="167"/>
      <c r="N102" s="62"/>
      <c r="O102" s="159">
        <v>23.94</v>
      </c>
      <c r="P102" s="62"/>
      <c r="Q102" s="159">
        <v>23.94</v>
      </c>
      <c r="R102" s="159">
        <v>23.94</v>
      </c>
      <c r="S102" s="159">
        <v>23.94</v>
      </c>
      <c r="T102" s="159">
        <v>23.94</v>
      </c>
      <c r="U102" s="159">
        <v>23.94</v>
      </c>
      <c r="V102" s="159">
        <v>23.94</v>
      </c>
      <c r="W102" s="32"/>
      <c r="X102" s="207">
        <f t="shared" si="33"/>
        <v>100</v>
      </c>
      <c r="Y102" s="207">
        <f t="shared" si="34"/>
        <v>100</v>
      </c>
      <c r="Z102" s="207">
        <f t="shared" si="35"/>
        <v>100</v>
      </c>
      <c r="AA102" s="207">
        <f t="shared" si="35"/>
        <v>100</v>
      </c>
      <c r="AB102" s="207">
        <f t="shared" si="35"/>
        <v>100</v>
      </c>
      <c r="AD102" s="43"/>
      <c r="AE102" s="43"/>
      <c r="AF102" s="18"/>
      <c r="AG102" s="18"/>
      <c r="AH102" s="18"/>
      <c r="AI102" s="18"/>
      <c r="AJ102" s="18"/>
      <c r="AK102" s="18"/>
      <c r="AL102" s="18"/>
      <c r="AM102" s="18"/>
      <c r="AN102" s="18"/>
    </row>
    <row r="103" spans="1:41">
      <c r="C103" s="49" t="s">
        <v>6</v>
      </c>
      <c r="H103" s="34">
        <f t="shared" si="27"/>
        <v>13</v>
      </c>
      <c r="I103" s="18" t="str">
        <f t="shared" si="36"/>
        <v>Ječmen tržni</v>
      </c>
      <c r="J103" s="17" t="str">
        <f t="shared" si="29"/>
        <v>Stroški, zmanjšani za subvencije</v>
      </c>
      <c r="K103" s="18" t="str">
        <f>+K$66</f>
        <v>EUR/ha</v>
      </c>
      <c r="L103" s="119"/>
      <c r="M103" s="167"/>
      <c r="N103" s="119"/>
      <c r="O103" s="171">
        <f>+O101-O102</f>
        <v>1697.3047076661287</v>
      </c>
      <c r="P103" s="62"/>
      <c r="Q103" s="171">
        <f>+Q101-Q102</f>
        <v>1860.3003277004045</v>
      </c>
      <c r="R103" s="171">
        <f t="shared" ref="R103:V103" si="38">+R101-R102</f>
        <v>1775.7912184767069</v>
      </c>
      <c r="S103" s="171">
        <f t="shared" si="38"/>
        <v>1697.3047076661287</v>
      </c>
      <c r="T103" s="171">
        <f t="shared" si="38"/>
        <v>1639.4999377199051</v>
      </c>
      <c r="U103" s="171">
        <f t="shared" si="38"/>
        <v>1540.8030396302661</v>
      </c>
      <c r="V103" s="171">
        <f t="shared" si="38"/>
        <v>1466.5585372795231</v>
      </c>
      <c r="W103" s="32"/>
      <c r="X103" s="207">
        <f t="shared" si="33"/>
        <v>109.60320320199915</v>
      </c>
      <c r="Y103" s="207">
        <f t="shared" si="34"/>
        <v>104.62418506565629</v>
      </c>
      <c r="Z103" s="207">
        <f t="shared" si="35"/>
        <v>96.594319824534765</v>
      </c>
      <c r="AA103" s="207">
        <f t="shared" si="35"/>
        <v>90.779400579695576</v>
      </c>
      <c r="AB103" s="207">
        <f t="shared" si="35"/>
        <v>86.405141672888419</v>
      </c>
      <c r="AD103" s="43"/>
      <c r="AE103" s="43"/>
      <c r="AF103" s="18"/>
      <c r="AG103" s="18"/>
      <c r="AH103" s="18"/>
      <c r="AI103" s="18"/>
      <c r="AJ103" s="18"/>
      <c r="AK103" s="18"/>
      <c r="AL103" s="18"/>
      <c r="AM103" s="18"/>
      <c r="AN103" s="18"/>
    </row>
    <row r="104" spans="1:41">
      <c r="G104" s="51"/>
      <c r="H104" s="34">
        <f t="shared" si="27"/>
        <v>14</v>
      </c>
      <c r="I104" s="18" t="str">
        <f t="shared" si="36"/>
        <v>Ječmen tržni</v>
      </c>
      <c r="J104" s="17" t="str">
        <f t="shared" si="29"/>
        <v>Stroški, zmanjšani za subvencije/kg</v>
      </c>
      <c r="K104" s="18" t="str">
        <f>+K$67</f>
        <v>EUR/kg</v>
      </c>
      <c r="L104" s="208"/>
      <c r="M104" s="186"/>
      <c r="N104" s="119"/>
      <c r="O104" s="177">
        <f>+O103/O95</f>
        <v>0.30860085593929615</v>
      </c>
      <c r="Q104" s="177">
        <f>+Q103/Q95</f>
        <v>0.28620005041544683</v>
      </c>
      <c r="R104" s="177">
        <f t="shared" ref="R104:V104" si="39">+R103/R95</f>
        <v>0.29596520307945118</v>
      </c>
      <c r="S104" s="177">
        <f t="shared" si="39"/>
        <v>0.30860085593929615</v>
      </c>
      <c r="T104" s="177">
        <f t="shared" si="39"/>
        <v>0.32789998754398103</v>
      </c>
      <c r="U104" s="177">
        <f t="shared" si="39"/>
        <v>0.34240067547339248</v>
      </c>
      <c r="V104" s="177">
        <f t="shared" si="39"/>
        <v>0.26664700677809511</v>
      </c>
      <c r="W104" s="185"/>
      <c r="X104" s="176">
        <f t="shared" si="33"/>
        <v>92.741171940153095</v>
      </c>
      <c r="Y104" s="176">
        <f t="shared" si="34"/>
        <v>95.905502976851594</v>
      </c>
      <c r="Z104" s="176">
        <f t="shared" si="35"/>
        <v>106.25375180698823</v>
      </c>
      <c r="AA104" s="176">
        <f t="shared" si="35"/>
        <v>110.95260070851683</v>
      </c>
      <c r="AB104" s="176">
        <f t="shared" si="35"/>
        <v>86.405141672888405</v>
      </c>
      <c r="AD104" s="43"/>
      <c r="AE104" s="43"/>
      <c r="AF104" s="18"/>
      <c r="AG104" s="18"/>
      <c r="AH104" s="18"/>
      <c r="AI104" s="18"/>
      <c r="AJ104" s="18"/>
      <c r="AK104" s="18"/>
      <c r="AL104" s="18"/>
      <c r="AM104" s="18"/>
      <c r="AN104" s="18"/>
    </row>
    <row r="105" spans="1:41">
      <c r="A105" s="49" t="s">
        <v>136</v>
      </c>
      <c r="H105" s="34">
        <f t="shared" si="27"/>
        <v>15</v>
      </c>
      <c r="J105" s="17" t="str">
        <f t="shared" si="29"/>
        <v>davek_a</v>
      </c>
      <c r="L105" s="62"/>
      <c r="M105" s="167"/>
      <c r="N105" s="62"/>
      <c r="O105" s="35">
        <v>23.345694791284139</v>
      </c>
      <c r="Q105" s="35">
        <v>19.561450340133295</v>
      </c>
      <c r="R105" s="35">
        <v>21.447139172390411</v>
      </c>
      <c r="S105" s="35">
        <v>23.345694791284139</v>
      </c>
      <c r="T105" s="35">
        <v>24.243507494979468</v>
      </c>
      <c r="U105" s="35">
        <v>26.296503100208234</v>
      </c>
      <c r="V105" s="35">
        <v>32.779669807359959</v>
      </c>
      <c r="W105" s="32"/>
      <c r="X105" s="207">
        <f t="shared" si="33"/>
        <v>83.790396966195019</v>
      </c>
      <c r="Y105" s="207">
        <f t="shared" si="34"/>
        <v>91.867641396551917</v>
      </c>
      <c r="Z105" s="207">
        <f t="shared" si="35"/>
        <v>103.84573135099204</v>
      </c>
      <c r="AA105" s="207">
        <f t="shared" si="35"/>
        <v>112.63962514418611</v>
      </c>
      <c r="AB105" s="207">
        <f t="shared" si="35"/>
        <v>140.4099132641702</v>
      </c>
      <c r="AD105" s="42"/>
      <c r="AE105" s="42"/>
      <c r="AF105" s="17"/>
      <c r="AG105" s="17"/>
      <c r="AH105" s="17"/>
      <c r="AI105" s="17"/>
      <c r="AJ105" s="17"/>
      <c r="AK105" s="17"/>
      <c r="AL105" s="17"/>
      <c r="AM105" s="17"/>
      <c r="AN105" s="18"/>
    </row>
    <row r="106" spans="1:41">
      <c r="A106" s="18" t="s">
        <v>92</v>
      </c>
      <c r="H106" s="34">
        <f t="shared" si="27"/>
        <v>16</v>
      </c>
      <c r="J106" s="17" t="str">
        <f t="shared" si="29"/>
        <v>Pokoj obvezno</v>
      </c>
      <c r="L106" s="62"/>
      <c r="M106" s="167"/>
      <c r="N106" s="62"/>
      <c r="O106" s="35">
        <v>35.609036814946677</v>
      </c>
      <c r="P106" s="62"/>
      <c r="Q106" s="35">
        <v>40.71282846555215</v>
      </c>
      <c r="R106" s="35">
        <v>38.167901920080439</v>
      </c>
      <c r="S106" s="35">
        <v>35.609036814946677</v>
      </c>
      <c r="T106" s="35">
        <v>34.434817428777762</v>
      </c>
      <c r="U106" s="35">
        <v>31.64761730794401</v>
      </c>
      <c r="V106" s="35">
        <v>22.695703617050501</v>
      </c>
      <c r="W106" s="32"/>
      <c r="X106" s="207">
        <f t="shared" si="33"/>
        <v>114.33285510396954</v>
      </c>
      <c r="Y106" s="207">
        <f t="shared" si="34"/>
        <v>107.18599921259229</v>
      </c>
      <c r="Z106" s="207">
        <f t="shared" si="35"/>
        <v>96.702467993528984</v>
      </c>
      <c r="AA106" s="207">
        <f t="shared" si="35"/>
        <v>88.87524105864081</v>
      </c>
      <c r="AB106" s="207">
        <f t="shared" si="35"/>
        <v>63.735797558905382</v>
      </c>
      <c r="AD106" s="43"/>
      <c r="AE106" s="43"/>
      <c r="AF106" s="18"/>
      <c r="AG106" s="18"/>
      <c r="AH106" s="18"/>
      <c r="AI106" s="18"/>
      <c r="AJ106" s="18"/>
      <c r="AK106" s="18"/>
      <c r="AL106" s="18"/>
      <c r="AM106" s="18"/>
      <c r="AN106" s="18"/>
    </row>
    <row r="107" spans="1:41" s="17" customFormat="1">
      <c r="A107" s="18" t="s">
        <v>91</v>
      </c>
      <c r="B107" s="49"/>
      <c r="C107" s="49"/>
      <c r="D107" s="49"/>
      <c r="E107" s="49"/>
      <c r="F107" s="18"/>
      <c r="G107" s="18"/>
      <c r="H107" s="34">
        <f t="shared" si="27"/>
        <v>17</v>
      </c>
      <c r="I107" s="18"/>
      <c r="J107" s="17" t="str">
        <f t="shared" si="29"/>
        <v>Zdrav obvezno</v>
      </c>
      <c r="K107" s="18"/>
      <c r="L107" s="164"/>
      <c r="M107" s="165"/>
      <c r="N107" s="164"/>
      <c r="O107" s="35">
        <v>20.882977074055823</v>
      </c>
      <c r="P107" s="164"/>
      <c r="Q107" s="35">
        <v>23.876103919475415</v>
      </c>
      <c r="R107" s="35">
        <v>22.383627642163304</v>
      </c>
      <c r="S107" s="35">
        <v>20.882977074055823</v>
      </c>
      <c r="T107" s="35">
        <v>20.194354221134834</v>
      </c>
      <c r="U107" s="35">
        <v>18.559796214787809</v>
      </c>
      <c r="V107" s="35">
        <v>13.309931992192842</v>
      </c>
      <c r="W107" s="201"/>
      <c r="X107" s="207">
        <f t="shared" si="33"/>
        <v>114.33285510396951</v>
      </c>
      <c r="Y107" s="207">
        <f t="shared" si="34"/>
        <v>107.18599921259229</v>
      </c>
      <c r="Z107" s="207">
        <f t="shared" si="35"/>
        <v>96.702467993529012</v>
      </c>
      <c r="AA107" s="207">
        <f t="shared" si="35"/>
        <v>88.875241058640825</v>
      </c>
      <c r="AB107" s="207">
        <f t="shared" si="35"/>
        <v>63.735797558905382</v>
      </c>
      <c r="AD107" s="42"/>
      <c r="AE107" s="42"/>
      <c r="AF107" s="18"/>
      <c r="AG107" s="18"/>
      <c r="AH107" s="18"/>
      <c r="AI107" s="18"/>
      <c r="AJ107" s="18"/>
      <c r="AK107" s="18"/>
      <c r="AL107" s="18"/>
      <c r="AM107" s="18"/>
      <c r="AN107" s="18"/>
      <c r="AO107" s="166"/>
    </row>
    <row r="108" spans="1:41">
      <c r="A108" s="18" t="s">
        <v>90</v>
      </c>
      <c r="H108" s="34">
        <f t="shared" si="27"/>
        <v>18</v>
      </c>
      <c r="J108" s="17" t="str">
        <f t="shared" si="29"/>
        <v>Pokoj dodatno</v>
      </c>
      <c r="L108" s="62"/>
      <c r="M108" s="167"/>
      <c r="N108" s="62"/>
      <c r="O108" s="35">
        <v>28.429473935524801</v>
      </c>
      <c r="P108" s="62"/>
      <c r="Q108" s="35">
        <v>32.504229241524357</v>
      </c>
      <c r="R108" s="35">
        <v>30.472415708675747</v>
      </c>
      <c r="S108" s="35">
        <v>28.429473935524801</v>
      </c>
      <c r="T108" s="35">
        <v>27.492002933229543</v>
      </c>
      <c r="U108" s="35">
        <v>25.266763491901134</v>
      </c>
      <c r="V108" s="35">
        <v>18.11975195460786</v>
      </c>
      <c r="W108" s="32"/>
      <c r="X108" s="207">
        <f t="shared" si="33"/>
        <v>114.33285510396954</v>
      </c>
      <c r="Y108" s="207">
        <f t="shared" si="34"/>
        <v>107.18599921259231</v>
      </c>
      <c r="Z108" s="207">
        <f t="shared" si="35"/>
        <v>96.702467993529012</v>
      </c>
      <c r="AA108" s="207">
        <f t="shared" si="35"/>
        <v>88.875241058640839</v>
      </c>
      <c r="AB108" s="207">
        <f t="shared" si="35"/>
        <v>63.735797558905396</v>
      </c>
      <c r="AD108" s="43"/>
      <c r="AE108" s="43"/>
      <c r="AF108" s="239" t="s">
        <v>143</v>
      </c>
      <c r="AG108" s="240"/>
      <c r="AH108" s="240"/>
      <c r="AI108" s="240"/>
      <c r="AJ108" s="240"/>
      <c r="AK108" s="240"/>
      <c r="AL108" s="240"/>
      <c r="AM108" s="240"/>
      <c r="AN108" s="240"/>
      <c r="AO108" s="166"/>
    </row>
    <row r="109" spans="1:41" s="17" customFormat="1">
      <c r="A109" s="18" t="s">
        <v>89</v>
      </c>
      <c r="B109" s="49"/>
      <c r="C109" s="49"/>
      <c r="D109" s="49"/>
      <c r="E109" s="49"/>
      <c r="F109" s="18"/>
      <c r="G109" s="18"/>
      <c r="H109" s="34">
        <f t="shared" si="27"/>
        <v>19</v>
      </c>
      <c r="I109" s="18"/>
      <c r="J109" s="17" t="str">
        <f t="shared" si="29"/>
        <v>Zdrav dodatno</v>
      </c>
      <c r="K109" s="18"/>
      <c r="L109" s="164"/>
      <c r="M109" s="165"/>
      <c r="N109" s="164"/>
      <c r="O109" s="35">
        <v>16.672510843478733</v>
      </c>
      <c r="P109" s="164"/>
      <c r="Q109" s="35">
        <v>19.062157664868149</v>
      </c>
      <c r="R109" s="35">
        <v>17.87059734141048</v>
      </c>
      <c r="S109" s="35">
        <v>16.672510843478733</v>
      </c>
      <c r="T109" s="35">
        <v>16.122729462132675</v>
      </c>
      <c r="U109" s="35">
        <v>14.817734202669754</v>
      </c>
      <c r="V109" s="35">
        <v>10.626357759186156</v>
      </c>
      <c r="W109" s="201"/>
      <c r="X109" s="207">
        <f t="shared" si="33"/>
        <v>114.33285510396954</v>
      </c>
      <c r="Y109" s="207">
        <f t="shared" si="34"/>
        <v>107.18599921259231</v>
      </c>
      <c r="Z109" s="207">
        <f t="shared" si="35"/>
        <v>96.702467993529012</v>
      </c>
      <c r="AA109" s="207">
        <f t="shared" si="35"/>
        <v>88.875241058640825</v>
      </c>
      <c r="AB109" s="207">
        <f t="shared" si="35"/>
        <v>63.735797558905396</v>
      </c>
      <c r="AD109" s="43"/>
      <c r="AE109" s="43"/>
      <c r="AF109" s="108" t="str">
        <f>"letina "&amp;M90&amp;", upoštevani stroški zmanjšani za subvencije"</f>
        <v>letina , upoštevani stroški zmanjšani za subvencije</v>
      </c>
      <c r="AG109" s="18"/>
      <c r="AH109" s="18"/>
      <c r="AI109" s="18"/>
      <c r="AJ109" s="18"/>
      <c r="AK109" s="18"/>
      <c r="AL109" s="18"/>
      <c r="AM109" s="18"/>
      <c r="AN109" s="18"/>
      <c r="AO109" s="166"/>
    </row>
    <row r="110" spans="1:41">
      <c r="A110" s="18" t="s">
        <v>88</v>
      </c>
      <c r="H110" s="34">
        <f t="shared" si="27"/>
        <v>20</v>
      </c>
      <c r="J110" s="17" t="str">
        <f t="shared" si="29"/>
        <v>Regresi</v>
      </c>
      <c r="L110" s="62"/>
      <c r="M110" s="167"/>
      <c r="N110" s="62"/>
      <c r="O110" s="35">
        <v>85.44485162000268</v>
      </c>
      <c r="P110" s="62"/>
      <c r="Q110" s="35">
        <v>97.691538396499382</v>
      </c>
      <c r="R110" s="35">
        <v>91.584917984616723</v>
      </c>
      <c r="S110" s="35">
        <v>85.44485162000268</v>
      </c>
      <c r="T110" s="35">
        <v>82.627280289951429</v>
      </c>
      <c r="U110" s="35">
        <v>75.939317849475344</v>
      </c>
      <c r="V110" s="35">
        <v>54.458957653031995</v>
      </c>
      <c r="W110" s="201"/>
      <c r="X110" s="207">
        <f t="shared" si="33"/>
        <v>114.33285510396949</v>
      </c>
      <c r="Y110" s="207">
        <f t="shared" si="34"/>
        <v>107.18599921259229</v>
      </c>
      <c r="Z110" s="207">
        <f t="shared" si="35"/>
        <v>96.702467993528998</v>
      </c>
      <c r="AA110" s="207">
        <f t="shared" si="35"/>
        <v>88.875241058640825</v>
      </c>
      <c r="AB110" s="207">
        <f t="shared" si="35"/>
        <v>63.735797558905382</v>
      </c>
      <c r="AD110" s="43"/>
      <c r="AE110" s="43"/>
      <c r="AF110" s="18"/>
      <c r="AG110" s="18"/>
      <c r="AH110" s="18"/>
      <c r="AI110" s="18"/>
      <c r="AJ110" s="18"/>
      <c r="AK110" s="18"/>
      <c r="AL110" s="18"/>
      <c r="AM110" s="18"/>
      <c r="AN110" s="18"/>
      <c r="AO110" s="166"/>
    </row>
    <row r="111" spans="1:41">
      <c r="A111" s="49" t="s">
        <v>13</v>
      </c>
      <c r="H111" s="34">
        <f t="shared" si="27"/>
        <v>21</v>
      </c>
      <c r="J111" s="17" t="str">
        <f t="shared" si="29"/>
        <v>SUM element</v>
      </c>
      <c r="L111" s="62"/>
      <c r="M111" s="167"/>
      <c r="N111" s="62"/>
      <c r="O111" s="159">
        <v>2046.7234617629424</v>
      </c>
      <c r="P111" s="170"/>
      <c r="Q111" s="159">
        <v>2275.1560215223972</v>
      </c>
      <c r="R111" s="159">
        <v>2162.8462159206351</v>
      </c>
      <c r="S111" s="159">
        <v>2046.7234617629424</v>
      </c>
      <c r="T111" s="159">
        <v>1961.1179954386544</v>
      </c>
      <c r="U111" s="159">
        <v>1834.62040097095</v>
      </c>
      <c r="V111" s="159">
        <v>1825.0616504961026</v>
      </c>
      <c r="W111" s="201"/>
      <c r="X111" s="206">
        <f t="shared" si="33"/>
        <v>111.16089027301688</v>
      </c>
      <c r="Y111" s="206">
        <f t="shared" si="34"/>
        <v>105.6735927606786</v>
      </c>
      <c r="Z111" s="206">
        <f t="shared" si="35"/>
        <v>95.817438558575375</v>
      </c>
      <c r="AA111" s="206">
        <f t="shared" si="35"/>
        <v>89.636945842732572</v>
      </c>
      <c r="AB111" s="206">
        <f t="shared" si="35"/>
        <v>89.169918877271698</v>
      </c>
      <c r="AD111" s="43"/>
      <c r="AE111" s="43"/>
      <c r="AF111" s="18"/>
      <c r="AG111" s="18"/>
      <c r="AH111" s="18"/>
      <c r="AI111" s="18"/>
      <c r="AJ111" s="18"/>
      <c r="AK111" s="18"/>
      <c r="AL111" s="18"/>
      <c r="AM111" s="18"/>
      <c r="AN111" s="18"/>
      <c r="AO111" s="166"/>
    </row>
    <row r="112" spans="1:41" ht="15" customHeight="1">
      <c r="A112" s="49" t="s">
        <v>3</v>
      </c>
      <c r="B112" s="49" t="s">
        <v>0</v>
      </c>
      <c r="C112" s="49" t="s">
        <v>2</v>
      </c>
      <c r="D112" s="49" t="s">
        <v>1</v>
      </c>
      <c r="E112" s="49" t="s">
        <v>0</v>
      </c>
      <c r="H112" s="34">
        <f t="shared" si="27"/>
        <v>22</v>
      </c>
      <c r="J112" s="106" t="str">
        <f>+J75</f>
        <v>Subvencije</v>
      </c>
      <c r="L112" s="62"/>
      <c r="M112" s="167"/>
      <c r="N112" s="62"/>
      <c r="O112" s="209">
        <v>23.94</v>
      </c>
      <c r="P112" s="210"/>
      <c r="Q112" s="209">
        <v>23.94</v>
      </c>
      <c r="R112" s="209">
        <v>23.94</v>
      </c>
      <c r="S112" s="209">
        <v>23.94</v>
      </c>
      <c r="T112" s="209">
        <v>23.94</v>
      </c>
      <c r="U112" s="209">
        <v>23.94</v>
      </c>
      <c r="V112" s="209">
        <v>23.94</v>
      </c>
      <c r="W112" s="201"/>
      <c r="X112" s="207">
        <f t="shared" si="33"/>
        <v>100</v>
      </c>
      <c r="Y112" s="207">
        <f t="shared" si="34"/>
        <v>100</v>
      </c>
      <c r="Z112" s="207">
        <f t="shared" si="35"/>
        <v>100</v>
      </c>
      <c r="AA112" s="207">
        <f t="shared" si="35"/>
        <v>100</v>
      </c>
      <c r="AB112" s="207">
        <f t="shared" si="35"/>
        <v>100</v>
      </c>
      <c r="AD112" s="43"/>
      <c r="AE112" s="179"/>
      <c r="AF112" s="18"/>
      <c r="AG112" s="18"/>
      <c r="AH112" s="18"/>
      <c r="AI112" s="18"/>
      <c r="AJ112" s="18"/>
      <c r="AK112" s="18"/>
      <c r="AL112" s="18"/>
      <c r="AM112" s="18"/>
      <c r="AN112" s="18"/>
      <c r="AO112" s="166"/>
    </row>
    <row r="113" spans="1:41" ht="15" customHeight="1">
      <c r="A113" s="112" t="s">
        <v>14</v>
      </c>
      <c r="H113" s="34">
        <f t="shared" si="27"/>
        <v>23</v>
      </c>
      <c r="J113" s="106" t="str">
        <f>+J76</f>
        <v>Vrednost pridelave_tržna</v>
      </c>
      <c r="K113" s="18" t="s">
        <v>162</v>
      </c>
      <c r="L113" s="62"/>
      <c r="M113" s="167"/>
      <c r="N113" s="62"/>
      <c r="O113" s="209">
        <v>907.5</v>
      </c>
      <c r="P113" s="210"/>
      <c r="Q113" s="209">
        <v>1072.5</v>
      </c>
      <c r="R113" s="209">
        <v>990</v>
      </c>
      <c r="S113" s="209">
        <v>907.5</v>
      </c>
      <c r="T113" s="209">
        <v>825</v>
      </c>
      <c r="U113" s="209">
        <v>742.5</v>
      </c>
      <c r="V113" s="209">
        <v>907.5</v>
      </c>
      <c r="W113" s="201"/>
      <c r="X113" s="206">
        <f t="shared" si="33"/>
        <v>118.18181818181819</v>
      </c>
      <c r="Y113" s="206">
        <f t="shared" si="34"/>
        <v>109.09090909090908</v>
      </c>
      <c r="Z113" s="206">
        <f t="shared" si="35"/>
        <v>90.909090909090907</v>
      </c>
      <c r="AA113" s="206">
        <f t="shared" si="35"/>
        <v>81.818181818181827</v>
      </c>
      <c r="AB113" s="206">
        <f t="shared" si="35"/>
        <v>100</v>
      </c>
      <c r="AD113" s="43"/>
      <c r="AE113" s="179"/>
      <c r="AF113" s="18"/>
      <c r="AG113" s="18"/>
      <c r="AH113" s="18"/>
      <c r="AI113" s="18"/>
      <c r="AJ113" s="18"/>
      <c r="AK113" s="18"/>
      <c r="AL113" s="18"/>
      <c r="AM113" s="18"/>
      <c r="AN113" s="18"/>
      <c r="AO113" s="166"/>
    </row>
    <row r="114" spans="1:41" s="21" customFormat="1">
      <c r="A114" s="49"/>
      <c r="B114" s="49"/>
      <c r="C114" s="49"/>
      <c r="D114" s="49"/>
      <c r="E114" s="49"/>
      <c r="F114" s="18"/>
      <c r="G114" s="51"/>
      <c r="H114" s="34">
        <f t="shared" si="27"/>
        <v>24</v>
      </c>
      <c r="I114" s="18"/>
      <c r="K114" s="46"/>
      <c r="L114" s="185"/>
      <c r="M114" s="186"/>
      <c r="N114" s="179"/>
      <c r="O114" s="187">
        <f>+O99-O112-O100</f>
        <v>1697.3047076661287</v>
      </c>
      <c r="P114" s="62" t="s">
        <v>87</v>
      </c>
      <c r="Q114" s="187">
        <f>+Q99-Q112-Q100</f>
        <v>1860.3003277004045</v>
      </c>
      <c r="R114" s="187">
        <f t="shared" ref="R114:V114" si="40">+R99-R112-R100</f>
        <v>1775.7912184767069</v>
      </c>
      <c r="S114" s="187">
        <f t="shared" si="40"/>
        <v>1697.3047076661287</v>
      </c>
      <c r="T114" s="187">
        <f t="shared" si="40"/>
        <v>1639.4999377199051</v>
      </c>
      <c r="U114" s="187">
        <f t="shared" si="40"/>
        <v>1540.8030396302661</v>
      </c>
      <c r="V114" s="187">
        <f t="shared" si="40"/>
        <v>1466.5585372795231</v>
      </c>
      <c r="W114" s="211"/>
      <c r="X114" s="179"/>
      <c r="Y114" s="179"/>
      <c r="Z114" s="179"/>
      <c r="AA114" s="179"/>
      <c r="AB114" s="179"/>
      <c r="AD114" s="42"/>
      <c r="AE114" s="42"/>
      <c r="AF114" s="18"/>
      <c r="AG114" s="18"/>
      <c r="AH114" s="18"/>
      <c r="AI114" s="18"/>
      <c r="AJ114" s="18"/>
      <c r="AK114" s="18"/>
      <c r="AL114" s="18"/>
      <c r="AM114" s="18"/>
      <c r="AN114" s="18"/>
      <c r="AO114" s="166"/>
    </row>
    <row r="115" spans="1:41" s="21" customFormat="1">
      <c r="A115" s="49"/>
      <c r="B115" s="49"/>
      <c r="C115" s="49"/>
      <c r="D115" s="49"/>
      <c r="E115" s="49"/>
      <c r="F115" s="18"/>
      <c r="G115" s="46"/>
      <c r="H115" s="34">
        <f t="shared" si="27"/>
        <v>25</v>
      </c>
      <c r="I115" s="18"/>
      <c r="K115" s="46"/>
      <c r="L115" s="185"/>
      <c r="M115" s="186"/>
      <c r="N115" s="179"/>
      <c r="O115" s="187">
        <f>O114-O106-O107</f>
        <v>1640.8126937771262</v>
      </c>
      <c r="P115" s="62" t="s">
        <v>86</v>
      </c>
      <c r="Q115" s="187">
        <f>Q114-Q106-Q107</f>
        <v>1795.7113953153771</v>
      </c>
      <c r="R115" s="187">
        <f t="shared" ref="R115:V115" si="41">R114-R106-R107</f>
        <v>1715.2396889144634</v>
      </c>
      <c r="S115" s="187">
        <f t="shared" si="41"/>
        <v>1640.8126937771262</v>
      </c>
      <c r="T115" s="187">
        <f t="shared" si="41"/>
        <v>1584.8707660699927</v>
      </c>
      <c r="U115" s="187">
        <f t="shared" si="41"/>
        <v>1490.5956261075341</v>
      </c>
      <c r="V115" s="187">
        <f t="shared" si="41"/>
        <v>1430.5529016702799</v>
      </c>
      <c r="W115" s="211"/>
      <c r="X115" s="179"/>
      <c r="Y115" s="179"/>
      <c r="Z115" s="179"/>
      <c r="AA115" s="179"/>
      <c r="AB115" s="179"/>
      <c r="AD115" s="43"/>
      <c r="AE115" s="43"/>
      <c r="AF115" s="18"/>
      <c r="AG115" s="18"/>
      <c r="AH115" s="18"/>
      <c r="AI115" s="18"/>
      <c r="AJ115" s="18"/>
      <c r="AK115" s="18"/>
      <c r="AL115" s="18"/>
      <c r="AM115" s="18"/>
      <c r="AN115" s="18"/>
      <c r="AO115" s="166"/>
    </row>
    <row r="116" spans="1:41" s="17" customFormat="1">
      <c r="A116" s="49"/>
      <c r="B116" s="49"/>
      <c r="C116" s="49"/>
      <c r="D116" s="49"/>
      <c r="E116" s="49"/>
      <c r="F116" s="18"/>
      <c r="H116" s="34">
        <f t="shared" si="27"/>
        <v>26</v>
      </c>
      <c r="I116" s="18"/>
      <c r="K116" s="18"/>
      <c r="L116" s="164"/>
      <c r="M116" s="165"/>
      <c r="N116" s="179"/>
      <c r="O116" s="187">
        <f>O115-O108-O109-O110</f>
        <v>1510.26585737812</v>
      </c>
      <c r="P116" s="62" t="s">
        <v>85</v>
      </c>
      <c r="Q116" s="187">
        <f>Q115-Q108-Q109-Q110</f>
        <v>1646.453470012485</v>
      </c>
      <c r="R116" s="187">
        <f t="shared" ref="R116:V116" si="42">R115-R108-R109-R110</f>
        <v>1575.3117578797603</v>
      </c>
      <c r="S116" s="187">
        <f t="shared" si="42"/>
        <v>1510.26585737812</v>
      </c>
      <c r="T116" s="187">
        <f t="shared" si="42"/>
        <v>1458.6287533846792</v>
      </c>
      <c r="U116" s="187">
        <f t="shared" si="42"/>
        <v>1374.5718105634878</v>
      </c>
      <c r="V116" s="187">
        <f t="shared" si="42"/>
        <v>1347.3478343034537</v>
      </c>
      <c r="W116" s="211"/>
      <c r="X116" s="164"/>
      <c r="Y116" s="164"/>
      <c r="Z116" s="164"/>
      <c r="AA116" s="164"/>
      <c r="AB116" s="164"/>
      <c r="AD116" s="43"/>
      <c r="AE116" s="43"/>
      <c r="AF116" s="18"/>
      <c r="AG116" s="18"/>
      <c r="AH116" s="18"/>
      <c r="AI116" s="18"/>
      <c r="AJ116" s="18"/>
      <c r="AK116" s="18"/>
      <c r="AL116" s="18"/>
      <c r="AM116" s="18"/>
      <c r="AN116" s="18"/>
      <c r="AO116" s="166"/>
    </row>
    <row r="117" spans="1:41">
      <c r="H117" s="34">
        <f t="shared" si="27"/>
        <v>27</v>
      </c>
      <c r="L117" s="62"/>
      <c r="M117" s="167"/>
      <c r="N117" s="62"/>
      <c r="O117" s="189"/>
      <c r="P117" s="184"/>
      <c r="Q117" s="189"/>
      <c r="R117" s="189"/>
      <c r="S117" s="189"/>
      <c r="T117" s="189"/>
      <c r="U117" s="189"/>
      <c r="V117" s="189"/>
      <c r="W117" s="32"/>
      <c r="X117" s="62"/>
      <c r="Y117" s="62"/>
      <c r="Z117" s="62"/>
      <c r="AA117" s="62"/>
      <c r="AB117" s="62"/>
      <c r="AD117" s="43"/>
      <c r="AE117" s="43"/>
      <c r="AF117" s="18"/>
      <c r="AG117" s="18"/>
      <c r="AH117" s="18"/>
      <c r="AI117" s="18"/>
      <c r="AJ117" s="18"/>
      <c r="AK117" s="18"/>
      <c r="AL117" s="18"/>
      <c r="AM117" s="18"/>
      <c r="AN117" s="18"/>
      <c r="AO117" s="166"/>
    </row>
    <row r="118" spans="1:41">
      <c r="H118" s="34">
        <f t="shared" si="27"/>
        <v>28</v>
      </c>
      <c r="J118" s="17"/>
      <c r="L118" s="62"/>
      <c r="M118" s="167"/>
      <c r="N118" s="62"/>
      <c r="O118" s="192" t="str">
        <f>+O95&amp;";"&amp;O97</f>
        <v>5500;1</v>
      </c>
      <c r="P118" s="212"/>
      <c r="Q118" s="192" t="str">
        <f>+Q95&amp;";"&amp;Q97</f>
        <v>6500;1</v>
      </c>
      <c r="R118" s="192" t="str">
        <f t="shared" ref="R118:V118" si="43">+R95&amp;";"&amp;R97</f>
        <v>6000;1</v>
      </c>
      <c r="S118" s="192" t="str">
        <f t="shared" si="43"/>
        <v>5500;1</v>
      </c>
      <c r="T118" s="192" t="str">
        <f t="shared" si="43"/>
        <v>5000;1</v>
      </c>
      <c r="U118" s="192" t="str">
        <f t="shared" si="43"/>
        <v>4500;1</v>
      </c>
      <c r="V118" s="192" t="str">
        <f t="shared" si="43"/>
        <v>5500;5</v>
      </c>
      <c r="W118" s="32"/>
      <c r="X118" s="62"/>
      <c r="Y118" s="62"/>
      <c r="Z118" s="62"/>
      <c r="AA118" s="62"/>
      <c r="AB118" s="62"/>
      <c r="AD118" s="43"/>
      <c r="AE118" s="43"/>
      <c r="AF118" s="18"/>
      <c r="AG118" s="18"/>
      <c r="AH118" s="18"/>
      <c r="AI118" s="18"/>
      <c r="AJ118" s="18"/>
      <c r="AK118" s="18"/>
      <c r="AL118" s="18"/>
      <c r="AM118" s="18"/>
      <c r="AN118" s="18"/>
      <c r="AO118" s="166"/>
    </row>
    <row r="119" spans="1:41" ht="13.5" customHeight="1">
      <c r="H119" s="34">
        <f t="shared" si="27"/>
        <v>29</v>
      </c>
      <c r="L119" s="62"/>
      <c r="M119" s="167"/>
      <c r="N119" s="62"/>
      <c r="O119" s="194">
        <f>+O114/O95*1000</f>
        <v>308.60085593929614</v>
      </c>
      <c r="P119" s="180" t="s">
        <v>84</v>
      </c>
      <c r="Q119" s="194">
        <f>+Q114/Q95*1000</f>
        <v>286.20005041544681</v>
      </c>
      <c r="R119" s="194">
        <f t="shared" ref="R119:V119" si="44">+R114/R95*1000</f>
        <v>295.96520307945116</v>
      </c>
      <c r="S119" s="194">
        <f t="shared" si="44"/>
        <v>308.60085593929614</v>
      </c>
      <c r="T119" s="194">
        <f t="shared" si="44"/>
        <v>327.89998754398101</v>
      </c>
      <c r="U119" s="194">
        <f t="shared" si="44"/>
        <v>342.40067547339248</v>
      </c>
      <c r="V119" s="194">
        <f t="shared" si="44"/>
        <v>266.64700677809509</v>
      </c>
      <c r="W119" s="32"/>
      <c r="X119" s="62"/>
      <c r="Y119" s="62"/>
      <c r="Z119" s="62"/>
      <c r="AA119" s="62"/>
      <c r="AB119" s="62"/>
      <c r="AD119" s="43"/>
      <c r="AE119" s="43"/>
      <c r="AF119" s="18"/>
      <c r="AG119" s="18"/>
      <c r="AH119" s="18"/>
      <c r="AI119" s="18"/>
      <c r="AJ119" s="18"/>
      <c r="AK119" s="18"/>
      <c r="AL119" s="18"/>
      <c r="AM119" s="18"/>
      <c r="AN119" s="18"/>
      <c r="AO119" s="166"/>
    </row>
    <row r="120" spans="1:41">
      <c r="H120" s="34">
        <f t="shared" si="27"/>
        <v>30</v>
      </c>
      <c r="L120" s="62"/>
      <c r="M120" s="167"/>
      <c r="N120" s="62"/>
      <c r="O120" s="194">
        <f>+O119*O115/O114</f>
        <v>298.32958068675026</v>
      </c>
      <c r="P120" s="180" t="s">
        <v>83</v>
      </c>
      <c r="Q120" s="194">
        <f>+Q119*Q115/Q114</f>
        <v>276.26329158698104</v>
      </c>
      <c r="R120" s="194">
        <f t="shared" ref="R120:V120" si="45">+R119*R115/R114</f>
        <v>285.87328148574392</v>
      </c>
      <c r="S120" s="194">
        <f t="shared" si="45"/>
        <v>298.32958068675026</v>
      </c>
      <c r="T120" s="194">
        <f t="shared" si="45"/>
        <v>316.97415321399853</v>
      </c>
      <c r="U120" s="194">
        <f t="shared" si="45"/>
        <v>331.24347246834094</v>
      </c>
      <c r="V120" s="194">
        <f t="shared" si="45"/>
        <v>260.10052757641449</v>
      </c>
      <c r="W120" s="32"/>
      <c r="X120" s="62"/>
      <c r="Y120" s="62"/>
      <c r="Z120" s="62"/>
      <c r="AA120" s="62"/>
      <c r="AB120" s="62"/>
      <c r="AD120" s="43"/>
      <c r="AE120" s="43"/>
      <c r="AF120" s="18"/>
      <c r="AG120" s="18"/>
      <c r="AH120" s="18"/>
      <c r="AI120" s="18"/>
      <c r="AJ120" s="18"/>
      <c r="AK120" s="18"/>
      <c r="AL120" s="18"/>
      <c r="AM120" s="18"/>
      <c r="AN120" s="18"/>
      <c r="AO120" s="166"/>
    </row>
    <row r="121" spans="1:41">
      <c r="H121" s="34">
        <f t="shared" si="27"/>
        <v>31</v>
      </c>
      <c r="L121" s="62"/>
      <c r="M121" s="167"/>
      <c r="N121" s="62"/>
      <c r="O121" s="194">
        <f>+O119*O116/O114</f>
        <v>274.59379225056728</v>
      </c>
      <c r="P121" s="180" t="s">
        <v>82</v>
      </c>
      <c r="Q121" s="194">
        <f>+Q119*Q116/Q114</f>
        <v>253.30053384807456</v>
      </c>
      <c r="R121" s="194">
        <f t="shared" ref="R121:V121" si="46">+R119*R116/R114</f>
        <v>262.5519596466267</v>
      </c>
      <c r="S121" s="194">
        <f t="shared" si="46"/>
        <v>274.59379225056728</v>
      </c>
      <c r="T121" s="194">
        <f t="shared" si="46"/>
        <v>291.72575067693583</v>
      </c>
      <c r="U121" s="194">
        <f t="shared" si="46"/>
        <v>305.46040234744174</v>
      </c>
      <c r="V121" s="194">
        <f t="shared" si="46"/>
        <v>244.97233350971885</v>
      </c>
      <c r="W121" s="32"/>
      <c r="X121" s="62"/>
      <c r="Y121" s="62"/>
      <c r="Z121" s="62"/>
      <c r="AA121" s="62"/>
      <c r="AB121" s="62"/>
      <c r="AD121" s="42"/>
      <c r="AE121" s="42"/>
      <c r="AF121" s="18"/>
      <c r="AG121" s="18"/>
      <c r="AH121" s="18"/>
      <c r="AI121" s="18"/>
      <c r="AJ121" s="18"/>
      <c r="AK121" s="18"/>
      <c r="AL121" s="18"/>
      <c r="AM121" s="18"/>
      <c r="AN121" s="18"/>
      <c r="AO121" s="166"/>
    </row>
    <row r="122" spans="1:41">
      <c r="H122" s="34">
        <f t="shared" si="27"/>
        <v>32</v>
      </c>
      <c r="L122" s="62"/>
      <c r="M122" s="167"/>
      <c r="N122" s="62"/>
      <c r="O122" s="194">
        <f>+O119-O121</f>
        <v>34.007063688728863</v>
      </c>
      <c r="P122" s="180" t="s">
        <v>81</v>
      </c>
      <c r="Q122" s="194">
        <f>+Q119-Q121</f>
        <v>32.899516567372245</v>
      </c>
      <c r="R122" s="194">
        <f t="shared" ref="R122:V122" si="47">+R119-R121</f>
        <v>33.413243432824459</v>
      </c>
      <c r="S122" s="194">
        <f t="shared" si="47"/>
        <v>34.007063688728863</v>
      </c>
      <c r="T122" s="194">
        <f t="shared" si="47"/>
        <v>36.174236867045181</v>
      </c>
      <c r="U122" s="194">
        <f t="shared" si="47"/>
        <v>36.940273125950739</v>
      </c>
      <c r="V122" s="194">
        <f t="shared" si="47"/>
        <v>21.674673268376239</v>
      </c>
      <c r="W122" s="32"/>
      <c r="X122" s="62"/>
      <c r="Y122" s="62"/>
      <c r="Z122" s="62"/>
      <c r="AA122" s="62"/>
      <c r="AB122" s="62"/>
      <c r="AD122" s="43"/>
      <c r="AE122" s="43"/>
      <c r="AF122" s="18"/>
      <c r="AG122" s="18"/>
      <c r="AH122" s="18"/>
      <c r="AI122" s="18"/>
      <c r="AJ122" s="18"/>
      <c r="AK122" s="18"/>
      <c r="AL122" s="18"/>
      <c r="AM122" s="18"/>
      <c r="AN122" s="18"/>
      <c r="AO122" s="166"/>
    </row>
    <row r="123" spans="1:41" s="17" customFormat="1">
      <c r="A123" s="49"/>
      <c r="B123" s="49"/>
      <c r="C123" s="49"/>
      <c r="D123" s="49"/>
      <c r="E123" s="49"/>
      <c r="F123" s="18"/>
      <c r="H123" s="34">
        <f t="shared" si="27"/>
        <v>33</v>
      </c>
      <c r="I123" s="18"/>
      <c r="W123" s="201"/>
      <c r="X123" s="164"/>
      <c r="Y123" s="164"/>
      <c r="Z123" s="164"/>
      <c r="AA123" s="164"/>
      <c r="AB123" s="164"/>
      <c r="AD123" s="42"/>
      <c r="AE123" s="42"/>
      <c r="AN123" s="18"/>
      <c r="AO123" s="166"/>
    </row>
    <row r="124" spans="1:41">
      <c r="A124" s="49" t="s">
        <v>15</v>
      </c>
      <c r="F124" s="39">
        <v>1000</v>
      </c>
      <c r="H124" s="34">
        <f t="shared" si="27"/>
        <v>34</v>
      </c>
      <c r="J124" s="196" t="s">
        <v>80</v>
      </c>
      <c r="L124" s="62"/>
      <c r="M124" s="167"/>
      <c r="N124" s="213"/>
      <c r="O124" s="197">
        <v>165</v>
      </c>
      <c r="P124" s="196" t="str">
        <f>J124</f>
        <v>Odkupna cena; vir podatkov SURS; preračuni KIS</v>
      </c>
      <c r="Q124" s="197">
        <v>165</v>
      </c>
      <c r="R124" s="197">
        <v>165</v>
      </c>
      <c r="S124" s="197">
        <v>165</v>
      </c>
      <c r="T124" s="197">
        <v>165</v>
      </c>
      <c r="U124" s="197">
        <v>165</v>
      </c>
      <c r="V124" s="197">
        <v>165</v>
      </c>
      <c r="W124" s="201"/>
      <c r="X124" s="62"/>
      <c r="Y124" s="62"/>
      <c r="Z124" s="62"/>
      <c r="AA124" s="62"/>
      <c r="AB124" s="62"/>
      <c r="AD124" s="43"/>
      <c r="AE124" s="43"/>
      <c r="AF124" s="239" t="s">
        <v>142</v>
      </c>
      <c r="AG124" s="240"/>
      <c r="AH124" s="240"/>
      <c r="AI124" s="240"/>
      <c r="AJ124" s="240"/>
      <c r="AK124" s="240"/>
      <c r="AL124" s="240"/>
      <c r="AM124" s="240"/>
      <c r="AN124" s="240"/>
      <c r="AO124" s="166"/>
    </row>
    <row r="125" spans="1:41" s="17" customFormat="1">
      <c r="A125" s="49"/>
      <c r="B125" s="49"/>
      <c r="C125" s="49"/>
      <c r="D125" s="49"/>
      <c r="E125" s="49"/>
      <c r="F125" s="18"/>
      <c r="H125" s="34">
        <f t="shared" si="27"/>
        <v>35</v>
      </c>
      <c r="I125" s="18"/>
      <c r="J125" s="106" t="str">
        <f>+J88</f>
        <v>Bruto dodana vrednost</v>
      </c>
      <c r="K125" s="18"/>
      <c r="L125" s="164"/>
      <c r="M125" s="165"/>
      <c r="N125" s="164"/>
      <c r="O125" s="199">
        <f>O113+O112+O100-O98</f>
        <v>-173.72421761128362</v>
      </c>
      <c r="P125" s="195"/>
      <c r="Q125" s="199">
        <f t="shared" ref="Q125:V125" si="48">Q113+Q112+Q100-Q98</f>
        <v>-98.778290272660797</v>
      </c>
      <c r="R125" s="199">
        <f t="shared" si="48"/>
        <v>-133.32509554822991</v>
      </c>
      <c r="S125" s="199">
        <f t="shared" si="48"/>
        <v>-173.72421761128362</v>
      </c>
      <c r="T125" s="199">
        <f t="shared" si="48"/>
        <v>-213.49761529861394</v>
      </c>
      <c r="U125" s="199">
        <f t="shared" si="48"/>
        <v>-238.82344347294384</v>
      </c>
      <c r="V125" s="199">
        <f t="shared" si="48"/>
        <v>-111.90211242451028</v>
      </c>
      <c r="W125" s="201"/>
      <c r="X125" s="164"/>
      <c r="Y125" s="164"/>
      <c r="Z125" s="164"/>
      <c r="AA125" s="164"/>
      <c r="AB125" s="164"/>
      <c r="AD125" s="43"/>
      <c r="AE125" s="43"/>
      <c r="AF125" s="108" t="str">
        <f>"letina "&amp;M90</f>
        <v xml:space="preserve">letina </v>
      </c>
      <c r="AG125" s="18"/>
      <c r="AH125" s="18"/>
      <c r="AI125" s="18"/>
      <c r="AJ125" s="18"/>
      <c r="AK125" s="18"/>
      <c r="AL125" s="18"/>
      <c r="AM125" s="18"/>
      <c r="AN125" s="18"/>
      <c r="AO125" s="166"/>
    </row>
    <row r="126" spans="1:41">
      <c r="A126" s="112" t="s">
        <v>11</v>
      </c>
      <c r="H126" s="34">
        <f t="shared" si="27"/>
        <v>36</v>
      </c>
      <c r="J126" s="182" t="s">
        <v>11</v>
      </c>
      <c r="K126" s="46"/>
      <c r="L126" s="62"/>
      <c r="M126" s="167"/>
      <c r="N126" s="62"/>
      <c r="O126" s="159">
        <v>142.33674141208164</v>
      </c>
      <c r="P126" s="191"/>
      <c r="Q126" s="159">
        <v>157.84310814691241</v>
      </c>
      <c r="R126" s="159">
        <v>150.10037148909305</v>
      </c>
      <c r="S126" s="159">
        <v>142.33674141208164</v>
      </c>
      <c r="T126" s="159">
        <v>140.36415034120023</v>
      </c>
      <c r="U126" s="159">
        <v>130.98362876526826</v>
      </c>
      <c r="V126" s="159">
        <v>116.03906194589223</v>
      </c>
      <c r="W126" s="32"/>
      <c r="X126" s="62"/>
      <c r="Y126" s="62"/>
      <c r="Z126" s="62"/>
      <c r="AA126" s="62"/>
      <c r="AB126" s="62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166"/>
    </row>
    <row r="127" spans="1:41">
      <c r="G127" s="62"/>
      <c r="H127" s="34">
        <f t="shared" si="27"/>
        <v>37</v>
      </c>
      <c r="J127" s="18" t="s">
        <v>19</v>
      </c>
      <c r="K127" s="46"/>
      <c r="L127" s="62"/>
      <c r="M127" s="167"/>
      <c r="N127" s="62"/>
      <c r="O127" s="62">
        <f>+O125-O126</f>
        <v>-316.06095902336529</v>
      </c>
      <c r="Q127" s="62">
        <f>+Q125-Q126</f>
        <v>-256.62139841957321</v>
      </c>
      <c r="R127" s="62">
        <f t="shared" ref="R127" si="49">+R125-R126</f>
        <v>-283.42546703732296</v>
      </c>
      <c r="S127" s="62">
        <f t="shared" ref="S127" si="50">+S125-S126</f>
        <v>-316.06095902336529</v>
      </c>
      <c r="T127" s="62">
        <f t="shared" ref="T127" si="51">+T125-T126</f>
        <v>-353.86176563981417</v>
      </c>
      <c r="U127" s="62">
        <f t="shared" ref="U127" si="52">+U125-U126</f>
        <v>-369.80707223821207</v>
      </c>
      <c r="V127" s="62">
        <f t="shared" ref="V127" si="53">+V125-V126</f>
        <v>-227.94117437040251</v>
      </c>
      <c r="W127" s="32"/>
      <c r="X127" s="62"/>
      <c r="Y127" s="62"/>
      <c r="Z127" s="62"/>
      <c r="AA127" s="62"/>
      <c r="AB127" s="62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166"/>
    </row>
    <row r="128" spans="1:41" ht="12" customHeight="1">
      <c r="A128" s="129"/>
      <c r="B128" s="129"/>
      <c r="C128" s="129"/>
      <c r="D128" s="129"/>
      <c r="E128" s="129"/>
      <c r="F128" s="61"/>
      <c r="G128" s="61"/>
      <c r="H128" s="61">
        <f>1</f>
        <v>1</v>
      </c>
      <c r="I128" s="61" t="str">
        <f>+J130</f>
        <v>Oljna ogrščica</v>
      </c>
      <c r="J128" s="60" t="s">
        <v>115</v>
      </c>
      <c r="K128" s="61"/>
      <c r="L128" s="61"/>
      <c r="M128" s="61"/>
      <c r="N128" s="61"/>
      <c r="O128" s="145">
        <f>O136-O148+O141-'2026'!E102</f>
        <v>5.1097142856915467E-2</v>
      </c>
      <c r="P128" s="61"/>
      <c r="Q128" s="145">
        <f>Q136-Q148+Q141-'2026'!H102</f>
        <v>4.4710000000454719E-2</v>
      </c>
      <c r="R128" s="145">
        <f>R136-R148+R141-'2026'!I102</f>
        <v>5.1097142856915467E-2</v>
      </c>
      <c r="S128" s="145">
        <f>S136-S148+S141-'2026'!J102</f>
        <v>5.9613333333105922E-2</v>
      </c>
      <c r="T128" s="145">
        <f>T136-T148+T141-'2026'!K102</f>
        <v>7.1535999999545186E-2</v>
      </c>
      <c r="U128" s="145">
        <f>U136-U148+U141-'2026'!L102</f>
        <v>5.9613333333333296E-2</v>
      </c>
      <c r="V128" s="145">
        <f>V136-V148+V141-'2026'!M102</f>
        <v>5.1097142856915523E-2</v>
      </c>
      <c r="W128" s="61"/>
      <c r="X128" s="61"/>
      <c r="Y128" s="61"/>
      <c r="Z128" s="61"/>
      <c r="AA128" s="61"/>
      <c r="AB128" s="61"/>
      <c r="AC128" s="61"/>
      <c r="AD128" s="146"/>
      <c r="AE128" s="147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</row>
    <row r="129" spans="1:41">
      <c r="G129" s="30"/>
      <c r="H129" s="34">
        <f>H128+1</f>
        <v>2</v>
      </c>
      <c r="I129" s="18" t="str">
        <f>+I128</f>
        <v>Oljna ogrščica</v>
      </c>
      <c r="J129" s="36" t="s">
        <v>116</v>
      </c>
      <c r="K129" s="37"/>
      <c r="L129" s="37"/>
      <c r="M129" s="148"/>
      <c r="N129" s="37"/>
      <c r="O129" s="204" t="e">
        <f>#REF!</f>
        <v>#REF!</v>
      </c>
      <c r="P129" s="204"/>
      <c r="Q129" s="149" t="e">
        <f>#REF!</f>
        <v>#REF!</v>
      </c>
      <c r="R129" s="149" t="e">
        <f>#REF!</f>
        <v>#REF!</v>
      </c>
      <c r="S129" s="149" t="e">
        <f>#REF!</f>
        <v>#REF!</v>
      </c>
      <c r="T129" s="149" t="e">
        <f>#REF!</f>
        <v>#REF!</v>
      </c>
      <c r="U129" s="149" t="e">
        <f>#REF!</f>
        <v>#REF!</v>
      </c>
      <c r="V129" s="149" t="e">
        <f>#REF!</f>
        <v>#REF!</v>
      </c>
      <c r="W129" s="37"/>
      <c r="X129" s="37"/>
      <c r="Y129" s="37"/>
      <c r="Z129" s="37"/>
      <c r="AA129" s="37"/>
      <c r="AB129" s="37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8"/>
      <c r="AN129" s="18"/>
      <c r="AO129" s="166"/>
    </row>
    <row r="130" spans="1:41" ht="12" customHeight="1">
      <c r="F130" s="18" t="e">
        <f>#REF!</f>
        <v>#REF!</v>
      </c>
      <c r="G130" s="30"/>
      <c r="H130" s="34">
        <f t="shared" ref="H130:H164" si="54">H129+1</f>
        <v>3</v>
      </c>
      <c r="I130" s="18" t="str">
        <f>+I129</f>
        <v>Oljna ogrščica</v>
      </c>
      <c r="J130" s="40" t="s">
        <v>189</v>
      </c>
      <c r="K130" s="18" t="str">
        <f>+K$56</f>
        <v>Enota</v>
      </c>
      <c r="L130" s="102"/>
      <c r="M130" s="150"/>
      <c r="N130" s="144"/>
      <c r="O130" s="107"/>
      <c r="P130" s="107"/>
      <c r="S130" s="107"/>
      <c r="U130" s="107"/>
      <c r="V130" s="107"/>
      <c r="W130" s="107"/>
      <c r="X130" s="144" t="s">
        <v>73</v>
      </c>
      <c r="Y130" s="102"/>
      <c r="Z130" s="102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8"/>
      <c r="AN130" s="18"/>
      <c r="AO130" s="166"/>
    </row>
    <row r="131" spans="1:41" ht="12" customHeight="1">
      <c r="G131" s="30"/>
      <c r="H131" s="34">
        <f t="shared" si="54"/>
        <v>4</v>
      </c>
      <c r="I131" s="18" t="str">
        <f>+I130</f>
        <v>Oljna ogrščica</v>
      </c>
      <c r="J131" s="17" t="str">
        <f>+J94</f>
        <v>Model</v>
      </c>
      <c r="L131" s="102"/>
      <c r="M131" s="150"/>
      <c r="N131" s="144"/>
      <c r="O131" s="107"/>
      <c r="P131" s="107"/>
      <c r="Q131" s="102" t="s">
        <v>64</v>
      </c>
      <c r="R131" s="102" t="s">
        <v>63</v>
      </c>
      <c r="S131" s="102" t="s">
        <v>62</v>
      </c>
      <c r="T131" s="102" t="s">
        <v>61</v>
      </c>
      <c r="U131" s="102" t="s">
        <v>76</v>
      </c>
      <c r="V131" s="102" t="s">
        <v>125</v>
      </c>
      <c r="W131" s="107"/>
      <c r="X131" s="102" t="str">
        <f>+Q131</f>
        <v>M 1</v>
      </c>
      <c r="Y131" s="102" t="str">
        <f>+R131</f>
        <v>M 2</v>
      </c>
      <c r="Z131" s="102" t="str">
        <f>+T131</f>
        <v>M 4</v>
      </c>
      <c r="AA131" s="102" t="str">
        <f t="shared" ref="AA131" si="55">+U131</f>
        <v>M5</v>
      </c>
      <c r="AB131" s="102" t="str">
        <f t="shared" ref="AB131" si="56">+V131</f>
        <v>M6</v>
      </c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8"/>
      <c r="AN131" s="18"/>
      <c r="AO131" s="166"/>
    </row>
    <row r="132" spans="1:41" ht="12" customHeight="1">
      <c r="A132" s="49" t="s">
        <v>9</v>
      </c>
      <c r="G132" s="30"/>
      <c r="H132" s="34">
        <f t="shared" si="54"/>
        <v>5</v>
      </c>
      <c r="I132" s="18" t="str">
        <f>+I131</f>
        <v>Oljna ogrščica</v>
      </c>
      <c r="J132" s="17" t="str">
        <f t="shared" ref="J132:J151" si="57">+J95</f>
        <v>Intenzivnost pridelave</v>
      </c>
      <c r="K132" s="18" t="s">
        <v>7</v>
      </c>
      <c r="L132" s="152"/>
      <c r="M132" s="205"/>
      <c r="N132" s="154"/>
      <c r="O132" s="159">
        <v>3500</v>
      </c>
      <c r="Q132" s="159">
        <v>4000</v>
      </c>
      <c r="R132" s="159">
        <v>3500</v>
      </c>
      <c r="S132" s="159">
        <v>3000</v>
      </c>
      <c r="T132" s="159">
        <v>2500</v>
      </c>
      <c r="U132" s="159">
        <v>3000</v>
      </c>
      <c r="V132" s="159">
        <v>3500</v>
      </c>
      <c r="W132" s="102"/>
      <c r="X132" s="206">
        <f>Q132/$S132*100</f>
        <v>133.33333333333331</v>
      </c>
      <c r="Y132" s="206">
        <f t="shared" ref="Y132" si="58">R132/$S132*100</f>
        <v>116.66666666666667</v>
      </c>
      <c r="Z132" s="206">
        <f>T132/$S132*100</f>
        <v>83.333333333333343</v>
      </c>
      <c r="AA132" s="206">
        <f>U132/$S132*100</f>
        <v>100</v>
      </c>
      <c r="AB132" s="206">
        <f>V132/$S132*100</f>
        <v>116.66666666666667</v>
      </c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8"/>
      <c r="AN132" s="18"/>
      <c r="AO132" s="166"/>
    </row>
    <row r="133" spans="1:41" ht="12" customHeight="1">
      <c r="A133" s="49" t="s">
        <v>75</v>
      </c>
      <c r="G133" s="30"/>
      <c r="H133" s="34">
        <f t="shared" si="54"/>
        <v>6</v>
      </c>
      <c r="J133" s="17" t="str">
        <f t="shared" si="57"/>
        <v>Stranski pridelki</v>
      </c>
      <c r="L133" s="152"/>
      <c r="M133" s="205"/>
      <c r="N133" s="154"/>
      <c r="O133" s="152"/>
      <c r="Q133" s="152"/>
      <c r="R133" s="152"/>
      <c r="S133" s="152"/>
      <c r="T133" s="152"/>
      <c r="U133" s="152"/>
      <c r="V133" s="102"/>
      <c r="W133" s="102"/>
      <c r="X133" s="207" t="e">
        <f t="shared" ref="X133:X150" si="59">Q133/$S133*100</f>
        <v>#DIV/0!</v>
      </c>
      <c r="Y133" s="207" t="e">
        <f t="shared" ref="Y133:Y150" si="60">R133/$S133*100</f>
        <v>#DIV/0!</v>
      </c>
      <c r="Z133" s="207" t="e">
        <f t="shared" ref="Z133:Z150" si="61">T133/$S133*100</f>
        <v>#DIV/0!</v>
      </c>
      <c r="AA133" s="207" t="e">
        <f t="shared" ref="AA133:AA150" si="62">U133/$S133*100</f>
        <v>#DIV/0!</v>
      </c>
      <c r="AB133" s="207" t="e">
        <f t="shared" ref="AB133:AB150" si="63">V133/$S133*100</f>
        <v>#DIV/0!</v>
      </c>
      <c r="AD133" s="62"/>
      <c r="AE133" s="62"/>
      <c r="AF133" s="62"/>
      <c r="AG133" s="62"/>
      <c r="AH133" s="62"/>
      <c r="AI133" s="62"/>
      <c r="AJ133" s="62"/>
      <c r="AK133" s="62"/>
      <c r="AL133" s="62"/>
      <c r="AM133" s="18"/>
      <c r="AN133" s="18"/>
      <c r="AO133" s="166"/>
    </row>
    <row r="134" spans="1:41" ht="12" customHeight="1">
      <c r="A134" s="49" t="s">
        <v>72</v>
      </c>
      <c r="G134" s="30"/>
      <c r="H134" s="34">
        <f t="shared" si="54"/>
        <v>7</v>
      </c>
      <c r="I134" s="18" t="str">
        <f>+I132</f>
        <v>Oljna ogrščica</v>
      </c>
      <c r="J134" s="17" t="str">
        <f t="shared" si="57"/>
        <v>Velikost parcele</v>
      </c>
      <c r="K134" s="18" t="s">
        <v>70</v>
      </c>
      <c r="L134" s="102"/>
      <c r="M134" s="150"/>
      <c r="N134" s="144"/>
      <c r="O134" s="159">
        <v>1</v>
      </c>
      <c r="Q134" s="159">
        <v>1</v>
      </c>
      <c r="R134" s="159">
        <v>1</v>
      </c>
      <c r="S134" s="159">
        <v>1</v>
      </c>
      <c r="T134" s="159">
        <v>1</v>
      </c>
      <c r="U134" s="159">
        <v>5</v>
      </c>
      <c r="V134" s="159">
        <v>5</v>
      </c>
      <c r="W134" s="152"/>
      <c r="X134" s="207">
        <f t="shared" si="59"/>
        <v>100</v>
      </c>
      <c r="Y134" s="207">
        <f t="shared" si="60"/>
        <v>100</v>
      </c>
      <c r="Z134" s="207">
        <f t="shared" si="61"/>
        <v>100</v>
      </c>
      <c r="AA134" s="207">
        <f t="shared" si="62"/>
        <v>500</v>
      </c>
      <c r="AB134" s="207">
        <f t="shared" si="63"/>
        <v>500</v>
      </c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8"/>
      <c r="AN134" s="18"/>
      <c r="AO134" s="166"/>
    </row>
    <row r="135" spans="1:41" ht="12" customHeight="1">
      <c r="A135" s="112" t="s">
        <v>12</v>
      </c>
      <c r="G135" s="30"/>
      <c r="H135" s="34">
        <f t="shared" si="54"/>
        <v>8</v>
      </c>
      <c r="I135" s="18" t="str">
        <f>+I130</f>
        <v>Oljna ogrščica</v>
      </c>
      <c r="J135" s="17" t="str">
        <f t="shared" si="57"/>
        <v>Kupljen material in storitve</v>
      </c>
      <c r="O135" s="159">
        <v>1496.4923756948024</v>
      </c>
      <c r="Q135" s="159">
        <v>1624.7109773586824</v>
      </c>
      <c r="R135" s="159">
        <v>1496.4923756948024</v>
      </c>
      <c r="S135" s="159">
        <v>1363.1850298167692</v>
      </c>
      <c r="T135" s="159">
        <v>1222.8983092267783</v>
      </c>
      <c r="U135" s="159">
        <v>1329.5524439241524</v>
      </c>
      <c r="V135" s="159">
        <v>1461.9773363212523</v>
      </c>
      <c r="W135" s="156"/>
      <c r="X135" s="206">
        <f t="shared" si="59"/>
        <v>119.18491927519671</v>
      </c>
      <c r="Y135" s="206">
        <f t="shared" si="60"/>
        <v>109.77910870220981</v>
      </c>
      <c r="Z135" s="206">
        <f t="shared" si="61"/>
        <v>89.708901027995637</v>
      </c>
      <c r="AA135" s="206">
        <f t="shared" si="62"/>
        <v>97.532793776561832</v>
      </c>
      <c r="AB135" s="206">
        <f t="shared" si="63"/>
        <v>107.24716779773927</v>
      </c>
      <c r="AD135" s="42"/>
      <c r="AE135" s="42"/>
      <c r="AF135" s="42"/>
      <c r="AG135" s="42"/>
      <c r="AH135" s="42"/>
      <c r="AI135" s="42"/>
      <c r="AJ135" s="42"/>
      <c r="AK135" s="42"/>
      <c r="AL135" s="42"/>
      <c r="AM135" s="17"/>
      <c r="AN135" s="17"/>
      <c r="AO135" s="166"/>
    </row>
    <row r="136" spans="1:41" s="17" customFormat="1" ht="12" customHeight="1">
      <c r="A136" s="49" t="s">
        <v>5</v>
      </c>
      <c r="B136" s="49"/>
      <c r="C136" s="49"/>
      <c r="D136" s="49"/>
      <c r="E136" s="49"/>
      <c r="F136" s="18"/>
      <c r="G136" s="30"/>
      <c r="H136" s="34">
        <f t="shared" si="54"/>
        <v>9</v>
      </c>
      <c r="I136" s="18" t="str">
        <f t="shared" ref="I136:I141" si="64">+I135</f>
        <v>Oljna ogrščica</v>
      </c>
      <c r="J136" s="17" t="str">
        <f t="shared" si="57"/>
        <v>Stroški skupaj</v>
      </c>
      <c r="K136" s="18" t="str">
        <f>+K$62</f>
        <v>EUR/ha</v>
      </c>
      <c r="L136" s="43"/>
      <c r="M136" s="214"/>
      <c r="N136" s="42"/>
      <c r="O136" s="159">
        <v>1983.1680652806365</v>
      </c>
      <c r="P136" s="42"/>
      <c r="Q136" s="159">
        <v>2115.7226724862403</v>
      </c>
      <c r="R136" s="159">
        <v>1983.1680652806365</v>
      </c>
      <c r="S136" s="159">
        <v>1830.3473621728874</v>
      </c>
      <c r="T136" s="159">
        <v>1663.8859626722915</v>
      </c>
      <c r="U136" s="159">
        <v>1716.4786782746569</v>
      </c>
      <c r="V136" s="159">
        <v>1866.0247339221467</v>
      </c>
      <c r="W136" s="201"/>
      <c r="X136" s="207">
        <f t="shared" si="59"/>
        <v>115.59131977957293</v>
      </c>
      <c r="Y136" s="207">
        <f t="shared" si="60"/>
        <v>108.34927327271522</v>
      </c>
      <c r="Z136" s="207">
        <f t="shared" si="61"/>
        <v>90.905474942036022</v>
      </c>
      <c r="AA136" s="207">
        <f t="shared" si="62"/>
        <v>93.778848416890014</v>
      </c>
      <c r="AB136" s="207">
        <f t="shared" si="63"/>
        <v>101.94921316503032</v>
      </c>
      <c r="AD136" s="43"/>
      <c r="AE136" s="43"/>
      <c r="AF136" s="43"/>
      <c r="AG136" s="43"/>
      <c r="AH136" s="43"/>
      <c r="AI136" s="43"/>
      <c r="AJ136" s="43"/>
      <c r="AK136" s="43"/>
      <c r="AL136" s="43"/>
      <c r="AM136" s="18"/>
      <c r="AN136" s="18"/>
      <c r="AO136" s="166"/>
    </row>
    <row r="137" spans="1:41" ht="12" customHeight="1">
      <c r="A137" s="49" t="s">
        <v>4</v>
      </c>
      <c r="G137" s="30"/>
      <c r="H137" s="34">
        <f t="shared" si="54"/>
        <v>10</v>
      </c>
      <c r="I137" s="18" t="str">
        <f t="shared" si="64"/>
        <v>Oljna ogrščica</v>
      </c>
      <c r="J137" s="17" t="str">
        <f t="shared" si="57"/>
        <v>Stranski pridelki</v>
      </c>
      <c r="K137" s="18" t="str">
        <f>+K$63</f>
        <v>EUR/ha</v>
      </c>
      <c r="L137" s="43"/>
      <c r="M137" s="214"/>
      <c r="N137" s="43"/>
      <c r="O137" s="159">
        <v>0</v>
      </c>
      <c r="P137" s="43"/>
      <c r="Q137" s="159">
        <v>0</v>
      </c>
      <c r="R137" s="159">
        <v>0</v>
      </c>
      <c r="S137" s="159">
        <v>0</v>
      </c>
      <c r="T137" s="159">
        <v>0</v>
      </c>
      <c r="U137" s="159">
        <v>0</v>
      </c>
      <c r="V137" s="159">
        <v>0</v>
      </c>
      <c r="W137" s="32"/>
      <c r="X137" s="207" t="e">
        <f t="shared" si="59"/>
        <v>#DIV/0!</v>
      </c>
      <c r="Y137" s="207" t="e">
        <f t="shared" si="60"/>
        <v>#DIV/0!</v>
      </c>
      <c r="Z137" s="207" t="e">
        <f t="shared" si="61"/>
        <v>#DIV/0!</v>
      </c>
      <c r="AA137" s="207" t="e">
        <f t="shared" si="62"/>
        <v>#DIV/0!</v>
      </c>
      <c r="AB137" s="207" t="e">
        <f t="shared" si="63"/>
        <v>#DIV/0!</v>
      </c>
      <c r="AD137" s="43"/>
      <c r="AE137" s="43"/>
      <c r="AF137" s="43"/>
      <c r="AG137" s="43"/>
      <c r="AH137" s="43"/>
      <c r="AI137" s="43"/>
      <c r="AJ137" s="43"/>
      <c r="AK137" s="43"/>
      <c r="AL137" s="43"/>
      <c r="AM137" s="18"/>
      <c r="AN137" s="18"/>
      <c r="AO137" s="166"/>
    </row>
    <row r="138" spans="1:41" ht="12" customHeight="1">
      <c r="G138" s="30"/>
      <c r="H138" s="34">
        <f t="shared" si="54"/>
        <v>11</v>
      </c>
      <c r="I138" s="18" t="str">
        <f t="shared" si="64"/>
        <v>Oljna ogrščica</v>
      </c>
      <c r="J138" s="17" t="str">
        <f t="shared" si="57"/>
        <v>Stroški glavnega pridelka</v>
      </c>
      <c r="K138" s="18" t="str">
        <f>+K$64</f>
        <v>EUR/ha</v>
      </c>
      <c r="L138" s="215"/>
      <c r="M138" s="214"/>
      <c r="N138" s="215"/>
      <c r="O138" s="169">
        <f>+O136-O137</f>
        <v>1983.1680652806365</v>
      </c>
      <c r="P138" s="43"/>
      <c r="Q138" s="169">
        <f>+Q136-Q137</f>
        <v>2115.7226724862403</v>
      </c>
      <c r="R138" s="169">
        <f t="shared" ref="R138:V138" si="65">+R136-R137</f>
        <v>1983.1680652806365</v>
      </c>
      <c r="S138" s="169">
        <f t="shared" si="65"/>
        <v>1830.3473621728874</v>
      </c>
      <c r="T138" s="169">
        <f t="shared" si="65"/>
        <v>1663.8859626722915</v>
      </c>
      <c r="U138" s="169">
        <f t="shared" si="65"/>
        <v>1716.4786782746569</v>
      </c>
      <c r="V138" s="169">
        <f t="shared" si="65"/>
        <v>1866.0247339221467</v>
      </c>
      <c r="W138" s="32"/>
      <c r="X138" s="207">
        <f t="shared" si="59"/>
        <v>115.59131977957293</v>
      </c>
      <c r="Y138" s="207">
        <f t="shared" si="60"/>
        <v>108.34927327271522</v>
      </c>
      <c r="Z138" s="207">
        <f t="shared" si="61"/>
        <v>90.905474942036022</v>
      </c>
      <c r="AA138" s="207">
        <f t="shared" si="62"/>
        <v>93.778848416890014</v>
      </c>
      <c r="AB138" s="207">
        <f t="shared" si="63"/>
        <v>101.94921316503032</v>
      </c>
      <c r="AD138" s="43"/>
      <c r="AE138" s="43"/>
      <c r="AF138" s="43"/>
      <c r="AG138" s="43"/>
      <c r="AH138" s="43"/>
      <c r="AI138" s="43"/>
      <c r="AJ138" s="43"/>
      <c r="AK138" s="43"/>
      <c r="AL138" s="43"/>
      <c r="AM138" s="18"/>
      <c r="AN138" s="18"/>
      <c r="AO138" s="166"/>
    </row>
    <row r="139" spans="1:41" ht="12" customHeight="1">
      <c r="A139" s="49" t="s">
        <v>3</v>
      </c>
      <c r="B139" s="49" t="s">
        <v>0</v>
      </c>
      <c r="C139" s="49" t="s">
        <v>2</v>
      </c>
      <c r="D139" s="49" t="s">
        <v>1</v>
      </c>
      <c r="E139" s="49" t="s">
        <v>0</v>
      </c>
      <c r="G139" s="30"/>
      <c r="H139" s="34">
        <f t="shared" si="54"/>
        <v>12</v>
      </c>
      <c r="I139" s="18" t="str">
        <f t="shared" si="64"/>
        <v>Oljna ogrščica</v>
      </c>
      <c r="J139" s="17" t="str">
        <f t="shared" si="57"/>
        <v>Subvencije</v>
      </c>
      <c r="K139" s="18" t="str">
        <f>+K$65</f>
        <v>EUR/ha</v>
      </c>
      <c r="L139" s="43"/>
      <c r="M139" s="214"/>
      <c r="N139" s="43"/>
      <c r="O139" s="159">
        <v>23.94</v>
      </c>
      <c r="P139" s="43"/>
      <c r="Q139" s="159">
        <v>23.94</v>
      </c>
      <c r="R139" s="159">
        <v>23.94</v>
      </c>
      <c r="S139" s="159">
        <v>23.94</v>
      </c>
      <c r="T139" s="159">
        <v>23.94</v>
      </c>
      <c r="U139" s="159">
        <v>23.94</v>
      </c>
      <c r="V139" s="159">
        <v>23.94</v>
      </c>
      <c r="W139" s="32"/>
      <c r="X139" s="207">
        <f t="shared" si="59"/>
        <v>100</v>
      </c>
      <c r="Y139" s="207">
        <f t="shared" si="60"/>
        <v>100</v>
      </c>
      <c r="Z139" s="207">
        <f t="shared" si="61"/>
        <v>100</v>
      </c>
      <c r="AA139" s="207">
        <f t="shared" si="62"/>
        <v>100</v>
      </c>
      <c r="AB139" s="207">
        <f t="shared" si="63"/>
        <v>100</v>
      </c>
      <c r="AD139" s="43"/>
      <c r="AE139" s="43"/>
      <c r="AF139" s="43"/>
      <c r="AG139" s="43"/>
      <c r="AH139" s="43"/>
      <c r="AI139" s="43"/>
      <c r="AJ139" s="43"/>
      <c r="AK139" s="43"/>
      <c r="AL139" s="43"/>
      <c r="AM139" s="18"/>
      <c r="AN139" s="18"/>
      <c r="AO139" s="166"/>
    </row>
    <row r="140" spans="1:41" ht="12" customHeight="1">
      <c r="C140" s="49" t="s">
        <v>6</v>
      </c>
      <c r="G140" s="30"/>
      <c r="H140" s="34">
        <f t="shared" si="54"/>
        <v>13</v>
      </c>
      <c r="I140" s="18" t="str">
        <f t="shared" si="64"/>
        <v>Oljna ogrščica</v>
      </c>
      <c r="J140" s="17" t="str">
        <f t="shared" si="57"/>
        <v>Stroški, zmanjšani za subvencije</v>
      </c>
      <c r="K140" s="18" t="str">
        <f>+K$66</f>
        <v>EUR/ha</v>
      </c>
      <c r="L140" s="215"/>
      <c r="M140" s="214"/>
      <c r="N140" s="215"/>
      <c r="O140" s="171">
        <f>+O138-O139</f>
        <v>1959.2280652806364</v>
      </c>
      <c r="P140" s="43"/>
      <c r="Q140" s="171">
        <f>+Q138-Q139</f>
        <v>2091.7826724862402</v>
      </c>
      <c r="R140" s="171">
        <f t="shared" ref="R140:V140" si="66">+R138-R139</f>
        <v>1959.2280652806364</v>
      </c>
      <c r="S140" s="171">
        <f t="shared" si="66"/>
        <v>1806.4073621728874</v>
      </c>
      <c r="T140" s="171">
        <f t="shared" si="66"/>
        <v>1639.9459626722914</v>
      </c>
      <c r="U140" s="171">
        <f t="shared" si="66"/>
        <v>1692.5386782746568</v>
      </c>
      <c r="V140" s="171">
        <f t="shared" si="66"/>
        <v>1842.0847339221466</v>
      </c>
      <c r="W140" s="32"/>
      <c r="X140" s="207">
        <f t="shared" si="59"/>
        <v>115.79794880652396</v>
      </c>
      <c r="Y140" s="207">
        <f t="shared" si="60"/>
        <v>108.45992472727329</v>
      </c>
      <c r="Z140" s="207">
        <f t="shared" si="61"/>
        <v>90.784946796255127</v>
      </c>
      <c r="AA140" s="207">
        <f t="shared" si="62"/>
        <v>93.69640058589772</v>
      </c>
      <c r="AB140" s="207">
        <f t="shared" si="63"/>
        <v>101.97504574529323</v>
      </c>
      <c r="AD140" s="43"/>
      <c r="AE140" s="43"/>
      <c r="AF140" s="43"/>
      <c r="AG140" s="43"/>
      <c r="AH140" s="43"/>
      <c r="AI140" s="43"/>
      <c r="AJ140" s="43"/>
      <c r="AK140" s="43"/>
      <c r="AL140" s="43"/>
      <c r="AM140" s="18"/>
      <c r="AN140" s="18"/>
      <c r="AO140" s="166"/>
    </row>
    <row r="141" spans="1:41" ht="12" customHeight="1">
      <c r="G141" s="30"/>
      <c r="H141" s="34">
        <f t="shared" si="54"/>
        <v>14</v>
      </c>
      <c r="I141" s="18" t="str">
        <f t="shared" si="64"/>
        <v>Oljna ogrščica</v>
      </c>
      <c r="J141" s="17" t="str">
        <f t="shared" si="57"/>
        <v>Stroški, zmanjšani za subvencije/kg</v>
      </c>
      <c r="K141" s="18" t="str">
        <f>+K$67</f>
        <v>EUR/kg</v>
      </c>
      <c r="L141" s="216"/>
      <c r="M141" s="217"/>
      <c r="N141" s="215"/>
      <c r="O141" s="177">
        <f>+O140/O132</f>
        <v>0.55977944722303896</v>
      </c>
      <c r="P141" s="218"/>
      <c r="Q141" s="177">
        <f>+Q140/Q132</f>
        <v>0.52294566812156007</v>
      </c>
      <c r="R141" s="177">
        <f t="shared" ref="R141:V141" si="67">+R140/R132</f>
        <v>0.55977944722303896</v>
      </c>
      <c r="S141" s="177">
        <f t="shared" si="67"/>
        <v>0.60213578739096241</v>
      </c>
      <c r="T141" s="177">
        <f t="shared" si="67"/>
        <v>0.65597838506891659</v>
      </c>
      <c r="U141" s="177">
        <f t="shared" si="67"/>
        <v>0.56417955942488562</v>
      </c>
      <c r="V141" s="177">
        <f t="shared" si="67"/>
        <v>0.52630992397775622</v>
      </c>
      <c r="W141" s="185"/>
      <c r="X141" s="176">
        <f t="shared" si="59"/>
        <v>86.848461604892989</v>
      </c>
      <c r="Y141" s="176">
        <f t="shared" si="60"/>
        <v>92.96564976623425</v>
      </c>
      <c r="Z141" s="176">
        <f t="shared" si="61"/>
        <v>108.94193615550616</v>
      </c>
      <c r="AA141" s="176">
        <f t="shared" si="62"/>
        <v>93.696400585897734</v>
      </c>
      <c r="AB141" s="176">
        <f t="shared" si="63"/>
        <v>87.407182067394203</v>
      </c>
      <c r="AD141" s="43"/>
      <c r="AE141" s="43"/>
      <c r="AF141" s="43"/>
      <c r="AG141" s="43"/>
      <c r="AH141" s="43"/>
      <c r="AI141" s="43"/>
      <c r="AJ141" s="43"/>
      <c r="AK141" s="43"/>
      <c r="AL141" s="43"/>
      <c r="AM141" s="18"/>
      <c r="AN141" s="18"/>
      <c r="AO141" s="166"/>
    </row>
    <row r="142" spans="1:41" ht="12" customHeight="1">
      <c r="A142" s="49" t="s">
        <v>136</v>
      </c>
      <c r="G142" s="30"/>
      <c r="H142" s="34">
        <f t="shared" si="54"/>
        <v>15</v>
      </c>
      <c r="J142" s="17" t="str">
        <f t="shared" si="57"/>
        <v>davek_a</v>
      </c>
      <c r="L142" s="43"/>
      <c r="M142" s="214"/>
      <c r="N142" s="43"/>
      <c r="O142" s="35">
        <v>32.014182419702408</v>
      </c>
      <c r="P142" s="43"/>
      <c r="Q142" s="35">
        <v>31.892001029781888</v>
      </c>
      <c r="R142" s="35">
        <v>32.014182419702408</v>
      </c>
      <c r="S142" s="35">
        <v>32.848310999437984</v>
      </c>
      <c r="T142" s="35">
        <v>33.964537702226863</v>
      </c>
      <c r="U142" s="35">
        <v>36.097926293554181</v>
      </c>
      <c r="V142" s="35">
        <v>35.376028529808629</v>
      </c>
      <c r="W142" s="32"/>
      <c r="X142" s="207">
        <f t="shared" si="59"/>
        <v>97.088708854246846</v>
      </c>
      <c r="Y142" s="207">
        <f t="shared" si="60"/>
        <v>97.460665238618063</v>
      </c>
      <c r="Z142" s="207">
        <f t="shared" si="61"/>
        <v>103.39812510545208</v>
      </c>
      <c r="AA142" s="207">
        <f t="shared" si="62"/>
        <v>109.89279264365159</v>
      </c>
      <c r="AB142" s="207">
        <f t="shared" si="63"/>
        <v>107.69512176870796</v>
      </c>
      <c r="AD142" s="43"/>
      <c r="AE142" s="43"/>
      <c r="AF142" s="43"/>
      <c r="AG142" s="43"/>
      <c r="AH142" s="43"/>
      <c r="AI142" s="43"/>
      <c r="AJ142" s="43"/>
      <c r="AK142" s="43"/>
      <c r="AL142" s="43"/>
      <c r="AM142" s="18"/>
      <c r="AN142" s="18"/>
      <c r="AO142" s="166"/>
    </row>
    <row r="143" spans="1:41" s="17" customFormat="1" ht="12" customHeight="1">
      <c r="A143" s="18" t="s">
        <v>92</v>
      </c>
      <c r="B143" s="49"/>
      <c r="C143" s="49"/>
      <c r="D143" s="49"/>
      <c r="E143" s="49"/>
      <c r="F143" s="18"/>
      <c r="G143" s="18"/>
      <c r="H143" s="34">
        <f t="shared" si="54"/>
        <v>16</v>
      </c>
      <c r="I143" s="18"/>
      <c r="J143" s="17" t="str">
        <f t="shared" si="57"/>
        <v>Pokoj obvezno</v>
      </c>
      <c r="K143" s="18"/>
      <c r="L143" s="43"/>
      <c r="M143" s="214"/>
      <c r="N143" s="43"/>
      <c r="O143" s="35">
        <v>24.337744692181108</v>
      </c>
      <c r="P143" s="43"/>
      <c r="Q143" s="35">
        <v>24.50616853482973</v>
      </c>
      <c r="R143" s="35">
        <v>24.337744692181108</v>
      </c>
      <c r="S143" s="35">
        <v>23.187920314233839</v>
      </c>
      <c r="T143" s="35">
        <v>21.640285253459744</v>
      </c>
      <c r="U143" s="35">
        <v>18.650685417276147</v>
      </c>
      <c r="V143" s="35">
        <v>19.645802557853429</v>
      </c>
      <c r="W143" s="32"/>
      <c r="X143" s="207">
        <f t="shared" si="59"/>
        <v>105.68506447638035</v>
      </c>
      <c r="Y143" s="207">
        <f t="shared" si="60"/>
        <v>104.95872144791466</v>
      </c>
      <c r="Z143" s="207">
        <f t="shared" si="61"/>
        <v>93.325684063938738</v>
      </c>
      <c r="AA143" s="207">
        <f t="shared" si="62"/>
        <v>80.432764838455455</v>
      </c>
      <c r="AB143" s="207">
        <f t="shared" si="63"/>
        <v>84.724297356645266</v>
      </c>
      <c r="AD143" s="42"/>
      <c r="AE143" s="42"/>
      <c r="AF143" s="42"/>
      <c r="AG143" s="42"/>
      <c r="AH143" s="42"/>
      <c r="AI143" s="42"/>
      <c r="AJ143" s="42"/>
      <c r="AK143" s="42"/>
      <c r="AL143" s="42"/>
      <c r="AM143" s="18"/>
      <c r="AN143" s="18"/>
      <c r="AO143" s="166"/>
    </row>
    <row r="144" spans="1:41" s="17" customFormat="1" ht="12" customHeight="1">
      <c r="A144" s="18" t="s">
        <v>91</v>
      </c>
      <c r="B144" s="49"/>
      <c r="C144" s="49"/>
      <c r="D144" s="49"/>
      <c r="E144" s="49"/>
      <c r="F144" s="18"/>
      <c r="G144" s="18"/>
      <c r="H144" s="34">
        <f t="shared" si="54"/>
        <v>17</v>
      </c>
      <c r="I144" s="18"/>
      <c r="J144" s="17" t="str">
        <f t="shared" si="57"/>
        <v>Zdrav obvezno</v>
      </c>
      <c r="K144" s="18"/>
      <c r="L144" s="42"/>
      <c r="M144" s="219"/>
      <c r="N144" s="42"/>
      <c r="O144" s="35">
        <v>14.272909629156532</v>
      </c>
      <c r="P144" s="42"/>
      <c r="Q144" s="35">
        <v>14.371682063329175</v>
      </c>
      <c r="R144" s="35">
        <v>14.272909629156532</v>
      </c>
      <c r="S144" s="35">
        <v>13.598593268153909</v>
      </c>
      <c r="T144" s="35">
        <v>12.690980190577358</v>
      </c>
      <c r="U144" s="35">
        <v>10.937724544712266</v>
      </c>
      <c r="V144" s="35">
        <v>11.521312596831461</v>
      </c>
      <c r="W144" s="201"/>
      <c r="X144" s="207">
        <f t="shared" si="59"/>
        <v>105.68506447638033</v>
      </c>
      <c r="Y144" s="207">
        <f t="shared" si="60"/>
        <v>104.95872144791463</v>
      </c>
      <c r="Z144" s="207">
        <f t="shared" si="61"/>
        <v>93.325684063938724</v>
      </c>
      <c r="AA144" s="207">
        <f t="shared" si="62"/>
        <v>80.432764838455441</v>
      </c>
      <c r="AB144" s="207">
        <f t="shared" si="63"/>
        <v>84.724297356645252</v>
      </c>
      <c r="AD144" s="43"/>
      <c r="AE144" s="43"/>
      <c r="AF144" s="43"/>
      <c r="AG144" s="43"/>
      <c r="AH144" s="43"/>
      <c r="AI144" s="43"/>
      <c r="AJ144" s="43"/>
      <c r="AK144" s="43"/>
      <c r="AL144" s="43"/>
      <c r="AM144" s="18"/>
      <c r="AN144" s="18"/>
      <c r="AO144" s="166"/>
    </row>
    <row r="145" spans="1:41" ht="12" customHeight="1">
      <c r="A145" s="18" t="s">
        <v>90</v>
      </c>
      <c r="H145" s="34">
        <f t="shared" si="54"/>
        <v>18</v>
      </c>
      <c r="J145" s="17" t="str">
        <f t="shared" si="57"/>
        <v>Pokoj dodatno</v>
      </c>
      <c r="L145" s="43"/>
      <c r="M145" s="214"/>
      <c r="N145" s="43"/>
      <c r="O145" s="35">
        <v>19.43072153205209</v>
      </c>
      <c r="P145" s="43"/>
      <c r="Q145" s="35">
        <v>19.565187433772021</v>
      </c>
      <c r="R145" s="35">
        <v>19.43072153205209</v>
      </c>
      <c r="S145" s="35">
        <v>18.512726969234766</v>
      </c>
      <c r="T145" s="35">
        <v>17.277129082927623</v>
      </c>
      <c r="U145" s="35">
        <v>14.89029814834992</v>
      </c>
      <c r="V145" s="35">
        <v>15.684777846238326</v>
      </c>
      <c r="W145" s="32"/>
      <c r="X145" s="207">
        <f t="shared" si="59"/>
        <v>105.68506447638038</v>
      </c>
      <c r="Y145" s="207">
        <f t="shared" si="60"/>
        <v>104.95872144791466</v>
      </c>
      <c r="Z145" s="207">
        <f t="shared" si="61"/>
        <v>93.325684063938752</v>
      </c>
      <c r="AA145" s="207">
        <f t="shared" si="62"/>
        <v>80.432764838455455</v>
      </c>
      <c r="AB145" s="207">
        <f t="shared" si="63"/>
        <v>84.724297356645266</v>
      </c>
      <c r="AD145" s="42"/>
      <c r="AE145" s="42"/>
      <c r="AF145" s="42"/>
      <c r="AG145" s="42"/>
      <c r="AH145" s="42"/>
      <c r="AI145" s="42"/>
      <c r="AJ145" s="42"/>
      <c r="AK145" s="42"/>
      <c r="AL145" s="42"/>
      <c r="AM145" s="18"/>
      <c r="AN145" s="18"/>
      <c r="AO145" s="166"/>
    </row>
    <row r="146" spans="1:41" s="17" customFormat="1" ht="12" customHeight="1">
      <c r="A146" s="18" t="s">
        <v>89</v>
      </c>
      <c r="B146" s="49"/>
      <c r="C146" s="49"/>
      <c r="D146" s="49"/>
      <c r="E146" s="49"/>
      <c r="F146" s="18"/>
      <c r="G146" s="18"/>
      <c r="H146" s="34">
        <f t="shared" si="54"/>
        <v>19</v>
      </c>
      <c r="I146" s="18"/>
      <c r="J146" s="17" t="str">
        <f t="shared" si="57"/>
        <v>Zdrav dodatno</v>
      </c>
      <c r="K146" s="18"/>
      <c r="L146" s="42"/>
      <c r="M146" s="219"/>
      <c r="N146" s="42"/>
      <c r="O146" s="35">
        <v>11.395177982345382</v>
      </c>
      <c r="P146" s="42"/>
      <c r="Q146" s="35">
        <v>11.47403572728952</v>
      </c>
      <c r="R146" s="35">
        <v>11.395177982345382</v>
      </c>
      <c r="S146" s="35">
        <v>10.856818590344773</v>
      </c>
      <c r="T146" s="35">
        <v>10.132200217020131</v>
      </c>
      <c r="U146" s="35">
        <v>8.732439365709725</v>
      </c>
      <c r="V146" s="35">
        <v>9.1983632659552459</v>
      </c>
      <c r="W146" s="201"/>
      <c r="X146" s="207">
        <f t="shared" si="59"/>
        <v>105.68506447638033</v>
      </c>
      <c r="Y146" s="207">
        <f t="shared" si="60"/>
        <v>104.95872144791463</v>
      </c>
      <c r="Z146" s="207">
        <f t="shared" si="61"/>
        <v>93.325684063938752</v>
      </c>
      <c r="AA146" s="207">
        <f t="shared" si="62"/>
        <v>80.432764838455455</v>
      </c>
      <c r="AB146" s="207">
        <f t="shared" si="63"/>
        <v>84.724297356645252</v>
      </c>
      <c r="AD146" s="43"/>
      <c r="AE146" s="43"/>
      <c r="AF146" s="239" t="s">
        <v>144</v>
      </c>
      <c r="AG146" s="240"/>
      <c r="AH146" s="240"/>
      <c r="AI146" s="240"/>
      <c r="AJ146" s="240"/>
      <c r="AK146" s="240"/>
      <c r="AL146" s="240"/>
      <c r="AM146" s="240"/>
      <c r="AN146" s="240"/>
      <c r="AO146" s="166"/>
    </row>
    <row r="147" spans="1:41" ht="12" customHeight="1">
      <c r="A147" s="18" t="s">
        <v>88</v>
      </c>
      <c r="H147" s="34">
        <f t="shared" si="54"/>
        <v>20</v>
      </c>
      <c r="J147" s="17" t="str">
        <f t="shared" si="57"/>
        <v>Regresi</v>
      </c>
      <c r="L147" s="43"/>
      <c r="M147" s="214"/>
      <c r="N147" s="43"/>
      <c r="O147" s="35">
        <v>58.399079840206468</v>
      </c>
      <c r="P147" s="43"/>
      <c r="Q147" s="35">
        <v>58.803217428065679</v>
      </c>
      <c r="R147" s="35">
        <v>58.399079840206468</v>
      </c>
      <c r="S147" s="35">
        <v>55.640044995390674</v>
      </c>
      <c r="T147" s="35">
        <v>51.926452605431656</v>
      </c>
      <c r="U147" s="35">
        <v>44.752826547153376</v>
      </c>
      <c r="V147" s="35">
        <v>47.140637171266</v>
      </c>
      <c r="W147" s="201"/>
      <c r="X147" s="207">
        <f t="shared" si="59"/>
        <v>105.68506447638035</v>
      </c>
      <c r="Y147" s="207">
        <f t="shared" si="60"/>
        <v>104.95872144791466</v>
      </c>
      <c r="Z147" s="207">
        <f t="shared" si="61"/>
        <v>93.325684063938724</v>
      </c>
      <c r="AA147" s="207">
        <f t="shared" si="62"/>
        <v>80.432764838455441</v>
      </c>
      <c r="AB147" s="207">
        <f t="shared" si="63"/>
        <v>84.724297356645238</v>
      </c>
      <c r="AD147" s="43"/>
      <c r="AE147" s="43"/>
      <c r="AF147" s="108" t="str">
        <f>"letina "&amp;M128&amp;", upoštevani stroški zmanjšani za subvencije"</f>
        <v>letina , upoštevani stroški zmanjšani za subvencije</v>
      </c>
      <c r="AG147" s="18"/>
      <c r="AH147" s="18"/>
      <c r="AI147" s="18"/>
      <c r="AJ147" s="18"/>
      <c r="AK147" s="18"/>
      <c r="AL147" s="18"/>
      <c r="AM147" s="18"/>
      <c r="AN147" s="18"/>
      <c r="AO147" s="166"/>
    </row>
    <row r="148" spans="1:41" ht="12" customHeight="1">
      <c r="A148" s="49" t="s">
        <v>13</v>
      </c>
      <c r="H148" s="34">
        <f t="shared" si="54"/>
        <v>21</v>
      </c>
      <c r="J148" s="17" t="str">
        <f t="shared" si="57"/>
        <v>SUM element</v>
      </c>
      <c r="L148" s="62"/>
      <c r="M148" s="167"/>
      <c r="N148" s="62"/>
      <c r="O148" s="159">
        <v>1983.1680652806367</v>
      </c>
      <c r="P148" s="170"/>
      <c r="Q148" s="159">
        <v>2115.7226724862398</v>
      </c>
      <c r="R148" s="159">
        <v>1983.1680652806367</v>
      </c>
      <c r="S148" s="159">
        <v>1830.3473621728876</v>
      </c>
      <c r="T148" s="159">
        <v>1663.885962672292</v>
      </c>
      <c r="U148" s="159">
        <v>1716.4786782746569</v>
      </c>
      <c r="V148" s="159">
        <v>1866.0247339221469</v>
      </c>
      <c r="W148" s="201"/>
      <c r="X148" s="206">
        <f t="shared" si="59"/>
        <v>115.59131977957288</v>
      </c>
      <c r="Y148" s="206">
        <f t="shared" si="60"/>
        <v>108.34927327271522</v>
      </c>
      <c r="Z148" s="206">
        <f t="shared" si="61"/>
        <v>90.905474942036037</v>
      </c>
      <c r="AA148" s="206">
        <f t="shared" si="62"/>
        <v>93.778848416889986</v>
      </c>
      <c r="AB148" s="206">
        <f t="shared" si="63"/>
        <v>101.94921316503032</v>
      </c>
      <c r="AD148" s="43"/>
      <c r="AE148" s="43"/>
      <c r="AF148" s="43"/>
      <c r="AG148" s="43"/>
      <c r="AH148" s="43"/>
      <c r="AI148" s="43"/>
      <c r="AJ148" s="43"/>
      <c r="AK148" s="43"/>
      <c r="AL148" s="43"/>
      <c r="AM148" s="18"/>
      <c r="AN148" s="18"/>
      <c r="AO148" s="166"/>
    </row>
    <row r="149" spans="1:41" ht="12" customHeight="1">
      <c r="A149" s="49" t="s">
        <v>3</v>
      </c>
      <c r="B149" s="49" t="s">
        <v>0</v>
      </c>
      <c r="C149" s="49" t="s">
        <v>2</v>
      </c>
      <c r="D149" s="49" t="s">
        <v>1</v>
      </c>
      <c r="E149" s="49" t="s">
        <v>0</v>
      </c>
      <c r="H149" s="34">
        <f t="shared" si="54"/>
        <v>22</v>
      </c>
      <c r="J149" s="106" t="str">
        <f t="shared" si="57"/>
        <v>Subvencije</v>
      </c>
      <c r="L149" s="62"/>
      <c r="M149" s="167"/>
      <c r="N149" s="62"/>
      <c r="O149" s="209">
        <v>23.94</v>
      </c>
      <c r="P149" s="210"/>
      <c r="Q149" s="209">
        <v>23.94</v>
      </c>
      <c r="R149" s="209">
        <v>23.94</v>
      </c>
      <c r="S149" s="209">
        <v>23.94</v>
      </c>
      <c r="T149" s="209">
        <v>23.94</v>
      </c>
      <c r="U149" s="209">
        <v>23.94</v>
      </c>
      <c r="V149" s="209">
        <v>23.94</v>
      </c>
      <c r="W149" s="201"/>
      <c r="X149" s="207">
        <f t="shared" si="59"/>
        <v>100</v>
      </c>
      <c r="Y149" s="207">
        <f t="shared" si="60"/>
        <v>100</v>
      </c>
      <c r="Z149" s="207">
        <f t="shared" si="61"/>
        <v>100</v>
      </c>
      <c r="AA149" s="207">
        <f t="shared" si="62"/>
        <v>100</v>
      </c>
      <c r="AB149" s="207">
        <f t="shared" si="63"/>
        <v>100</v>
      </c>
      <c r="AD149" s="43"/>
      <c r="AE149" s="43"/>
      <c r="AF149" s="43"/>
      <c r="AG149" s="43"/>
      <c r="AH149" s="43"/>
      <c r="AI149" s="43"/>
      <c r="AJ149" s="43"/>
      <c r="AK149" s="43"/>
      <c r="AL149" s="43"/>
      <c r="AM149" s="18"/>
      <c r="AN149" s="18"/>
      <c r="AO149" s="166"/>
    </row>
    <row r="150" spans="1:41" ht="12" customHeight="1">
      <c r="A150" s="112" t="s">
        <v>14</v>
      </c>
      <c r="H150" s="34">
        <f t="shared" si="54"/>
        <v>23</v>
      </c>
      <c r="J150" s="198" t="str">
        <f>+J113</f>
        <v>Vrednost pridelave_tržna</v>
      </c>
      <c r="K150" s="18" t="s">
        <v>162</v>
      </c>
      <c r="L150" s="62"/>
      <c r="M150" s="167"/>
      <c r="N150" s="62"/>
      <c r="O150" s="209">
        <v>1606.4999999999998</v>
      </c>
      <c r="P150" s="210"/>
      <c r="Q150" s="209">
        <v>1835.9999999999998</v>
      </c>
      <c r="R150" s="209">
        <v>1606.4999999999998</v>
      </c>
      <c r="S150" s="209">
        <v>1377</v>
      </c>
      <c r="T150" s="209">
        <v>1147.5</v>
      </c>
      <c r="U150" s="209">
        <v>1377</v>
      </c>
      <c r="V150" s="209">
        <v>1606.4999999999998</v>
      </c>
      <c r="W150" s="201"/>
      <c r="X150" s="206">
        <f t="shared" si="59"/>
        <v>133.33333333333331</v>
      </c>
      <c r="Y150" s="206">
        <f t="shared" si="60"/>
        <v>116.66666666666666</v>
      </c>
      <c r="Z150" s="206">
        <f t="shared" si="61"/>
        <v>83.333333333333343</v>
      </c>
      <c r="AA150" s="206">
        <f t="shared" si="62"/>
        <v>100</v>
      </c>
      <c r="AB150" s="206">
        <f t="shared" si="63"/>
        <v>116.66666666666666</v>
      </c>
      <c r="AD150" s="43"/>
      <c r="AE150" s="43"/>
      <c r="AF150" s="43"/>
      <c r="AG150" s="43"/>
      <c r="AH150" s="43"/>
      <c r="AI150" s="43"/>
      <c r="AJ150" s="43"/>
      <c r="AK150" s="43"/>
      <c r="AL150" s="43"/>
      <c r="AM150" s="18"/>
      <c r="AN150" s="18"/>
      <c r="AO150" s="166"/>
    </row>
    <row r="151" spans="1:41" s="21" customFormat="1" ht="12" customHeight="1">
      <c r="A151" s="49"/>
      <c r="B151" s="49"/>
      <c r="C151" s="49"/>
      <c r="D151" s="49"/>
      <c r="E151" s="49"/>
      <c r="F151" s="18"/>
      <c r="G151" s="51"/>
      <c r="H151" s="34">
        <f t="shared" si="54"/>
        <v>24</v>
      </c>
      <c r="I151" s="18"/>
      <c r="J151" s="21">
        <f t="shared" si="57"/>
        <v>0</v>
      </c>
      <c r="K151" s="46"/>
      <c r="L151" s="185"/>
      <c r="M151" s="186"/>
      <c r="N151" s="179"/>
      <c r="O151" s="187">
        <f>+O136-O149-O137</f>
        <v>1959.2280652806364</v>
      </c>
      <c r="P151" s="62" t="s">
        <v>87</v>
      </c>
      <c r="Q151" s="187">
        <f>+Q136-Q149-Q137</f>
        <v>2091.7826724862402</v>
      </c>
      <c r="R151" s="187">
        <f t="shared" ref="R151:V151" si="68">+R136-R149-R137</f>
        <v>1959.2280652806364</v>
      </c>
      <c r="S151" s="187">
        <f t="shared" si="68"/>
        <v>1806.4073621728874</v>
      </c>
      <c r="T151" s="187">
        <f t="shared" si="68"/>
        <v>1639.9459626722914</v>
      </c>
      <c r="U151" s="187">
        <f t="shared" si="68"/>
        <v>1692.5386782746568</v>
      </c>
      <c r="V151" s="187">
        <f t="shared" si="68"/>
        <v>1842.0847339221466</v>
      </c>
      <c r="W151" s="211"/>
      <c r="X151" s="179"/>
      <c r="Y151" s="179"/>
      <c r="Z151" s="179"/>
      <c r="AA151" s="185"/>
      <c r="AB151" s="185"/>
      <c r="AD151" s="43"/>
      <c r="AE151" s="43"/>
      <c r="AF151" s="43"/>
      <c r="AG151" s="43"/>
      <c r="AH151" s="43"/>
      <c r="AI151" s="43"/>
      <c r="AJ151" s="43"/>
      <c r="AK151" s="43"/>
      <c r="AL151" s="43"/>
      <c r="AM151" s="18"/>
      <c r="AN151" s="18"/>
      <c r="AO151" s="166"/>
    </row>
    <row r="152" spans="1:41" s="21" customFormat="1" ht="12" customHeight="1">
      <c r="A152" s="49"/>
      <c r="B152" s="49"/>
      <c r="C152" s="49"/>
      <c r="D152" s="49"/>
      <c r="E152" s="49"/>
      <c r="F152" s="18"/>
      <c r="G152" s="46"/>
      <c r="H152" s="34">
        <f t="shared" si="54"/>
        <v>25</v>
      </c>
      <c r="I152" s="18"/>
      <c r="K152" s="46"/>
      <c r="L152" s="185"/>
      <c r="M152" s="186"/>
      <c r="N152" s="179"/>
      <c r="O152" s="187">
        <f>O151-O143-O144</f>
        <v>1920.6174109592987</v>
      </c>
      <c r="P152" s="62" t="s">
        <v>86</v>
      </c>
      <c r="Q152" s="187">
        <f>Q151-Q143-Q144</f>
        <v>2052.9048218880816</v>
      </c>
      <c r="R152" s="187">
        <f t="shared" ref="R152:V152" si="69">R151-R143-R144</f>
        <v>1920.6174109592987</v>
      </c>
      <c r="S152" s="187">
        <f t="shared" si="69"/>
        <v>1769.6208485904995</v>
      </c>
      <c r="T152" s="187">
        <f t="shared" si="69"/>
        <v>1605.6146972282543</v>
      </c>
      <c r="U152" s="187">
        <f t="shared" si="69"/>
        <v>1662.9502683126684</v>
      </c>
      <c r="V152" s="187">
        <f t="shared" si="69"/>
        <v>1810.9176187674618</v>
      </c>
      <c r="W152" s="211"/>
      <c r="X152" s="179"/>
      <c r="Y152" s="179"/>
      <c r="Z152" s="179"/>
      <c r="AA152" s="185"/>
      <c r="AB152" s="185"/>
      <c r="AD152" s="42"/>
      <c r="AE152" s="42"/>
      <c r="AF152" s="42"/>
      <c r="AG152" s="42"/>
      <c r="AH152" s="42"/>
      <c r="AI152" s="42"/>
      <c r="AJ152" s="42"/>
      <c r="AK152" s="42"/>
      <c r="AL152" s="42"/>
      <c r="AM152" s="18"/>
      <c r="AN152" s="18"/>
      <c r="AO152" s="166"/>
    </row>
    <row r="153" spans="1:41" s="17" customFormat="1" ht="12" customHeight="1">
      <c r="A153" s="49"/>
      <c r="B153" s="49"/>
      <c r="C153" s="49"/>
      <c r="D153" s="49"/>
      <c r="E153" s="49"/>
      <c r="F153" s="18"/>
      <c r="H153" s="34">
        <f t="shared" si="54"/>
        <v>26</v>
      </c>
      <c r="I153" s="18"/>
      <c r="K153" s="18"/>
      <c r="L153" s="164"/>
      <c r="M153" s="165"/>
      <c r="N153" s="179"/>
      <c r="O153" s="187">
        <f>O152-O145-O146-O147</f>
        <v>1831.3924316046948</v>
      </c>
      <c r="P153" s="62" t="s">
        <v>85</v>
      </c>
      <c r="Q153" s="187">
        <f>Q152-Q145-Q146-Q147</f>
        <v>1963.0623812989545</v>
      </c>
      <c r="R153" s="187">
        <f t="shared" ref="R153:V153" si="70">R152-R145-R146-R147</f>
        <v>1831.3924316046948</v>
      </c>
      <c r="S153" s="187">
        <f t="shared" si="70"/>
        <v>1684.6112580355291</v>
      </c>
      <c r="T153" s="187">
        <f t="shared" si="70"/>
        <v>1526.2789153228748</v>
      </c>
      <c r="U153" s="187">
        <f t="shared" si="70"/>
        <v>1594.5747042514554</v>
      </c>
      <c r="V153" s="187">
        <f t="shared" si="70"/>
        <v>1738.8938404840021</v>
      </c>
      <c r="W153" s="211"/>
      <c r="X153" s="164"/>
      <c r="Y153" s="164"/>
      <c r="Z153" s="164"/>
      <c r="AA153" s="164"/>
      <c r="AB153" s="164"/>
      <c r="AD153" s="43"/>
      <c r="AE153" s="43"/>
      <c r="AF153" s="43"/>
      <c r="AG153" s="43"/>
      <c r="AH153" s="43"/>
      <c r="AI153" s="43"/>
      <c r="AJ153" s="43"/>
      <c r="AK153" s="43"/>
      <c r="AL153" s="43"/>
      <c r="AM153" s="18"/>
      <c r="AN153" s="18"/>
      <c r="AO153" s="166"/>
    </row>
    <row r="154" spans="1:41" ht="12" customHeight="1">
      <c r="H154" s="34">
        <f t="shared" si="54"/>
        <v>27</v>
      </c>
      <c r="L154" s="62"/>
      <c r="M154" s="167"/>
      <c r="N154" s="62"/>
      <c r="O154" s="189"/>
      <c r="P154" s="184"/>
      <c r="Q154" s="189"/>
      <c r="R154" s="189"/>
      <c r="S154" s="189"/>
      <c r="T154" s="189"/>
      <c r="U154" s="189"/>
      <c r="V154" s="189"/>
      <c r="W154" s="32"/>
      <c r="X154" s="62"/>
      <c r="Y154" s="62"/>
      <c r="Z154" s="62"/>
      <c r="AA154" s="62"/>
      <c r="AB154" s="62"/>
      <c r="AD154" s="43"/>
      <c r="AE154" s="43"/>
      <c r="AF154" s="43"/>
      <c r="AG154" s="43"/>
      <c r="AH154" s="43"/>
      <c r="AI154" s="43"/>
      <c r="AJ154" s="43"/>
      <c r="AK154" s="43"/>
      <c r="AL154" s="43"/>
      <c r="AM154" s="18"/>
      <c r="AN154" s="18"/>
      <c r="AO154" s="166"/>
    </row>
    <row r="155" spans="1:41" ht="12" customHeight="1">
      <c r="H155" s="34">
        <f t="shared" si="54"/>
        <v>28</v>
      </c>
      <c r="J155" s="17"/>
      <c r="L155" s="62"/>
      <c r="M155" s="167"/>
      <c r="N155" s="62"/>
      <c r="O155" s="192" t="str">
        <f>+O132&amp;";"&amp;O134</f>
        <v>3500;1</v>
      </c>
      <c r="P155" s="212"/>
      <c r="Q155" s="192" t="str">
        <f>+Q132&amp;";"&amp;Q134</f>
        <v>4000;1</v>
      </c>
      <c r="R155" s="192" t="str">
        <f t="shared" ref="R155:V155" si="71">+R132&amp;";"&amp;R134</f>
        <v>3500;1</v>
      </c>
      <c r="S155" s="192" t="str">
        <f t="shared" si="71"/>
        <v>3000;1</v>
      </c>
      <c r="T155" s="192" t="str">
        <f t="shared" si="71"/>
        <v>2500;1</v>
      </c>
      <c r="U155" s="192" t="str">
        <f t="shared" si="71"/>
        <v>3000;5</v>
      </c>
      <c r="V155" s="192" t="str">
        <f t="shared" si="71"/>
        <v>3500;5</v>
      </c>
      <c r="W155" s="32"/>
      <c r="X155" s="62"/>
      <c r="Y155" s="62"/>
      <c r="Z155" s="62"/>
      <c r="AA155" s="62"/>
      <c r="AB155" s="62"/>
      <c r="AD155" s="43"/>
      <c r="AE155" s="43"/>
      <c r="AF155" s="43"/>
      <c r="AG155" s="43"/>
      <c r="AH155" s="43"/>
      <c r="AI155" s="43"/>
      <c r="AJ155" s="43"/>
      <c r="AK155" s="43"/>
      <c r="AL155" s="43"/>
      <c r="AM155" s="18"/>
      <c r="AN155" s="18"/>
      <c r="AO155" s="166"/>
    </row>
    <row r="156" spans="1:41" ht="12" customHeight="1">
      <c r="H156" s="34">
        <f t="shared" si="54"/>
        <v>29</v>
      </c>
      <c r="L156" s="62"/>
      <c r="M156" s="167"/>
      <c r="N156" s="62"/>
      <c r="O156" s="194">
        <f>+O151/O132*1000</f>
        <v>559.77944722303891</v>
      </c>
      <c r="P156" s="180" t="s">
        <v>84</v>
      </c>
      <c r="Q156" s="194">
        <f>+Q151/Q132*1000</f>
        <v>522.94566812156006</v>
      </c>
      <c r="R156" s="194">
        <f t="shared" ref="R156:V156" si="72">+R151/R132*1000</f>
        <v>559.77944722303891</v>
      </c>
      <c r="S156" s="194">
        <f t="shared" si="72"/>
        <v>602.13578739096238</v>
      </c>
      <c r="T156" s="194">
        <f t="shared" si="72"/>
        <v>655.97838506891662</v>
      </c>
      <c r="U156" s="194">
        <f t="shared" si="72"/>
        <v>564.17955942488561</v>
      </c>
      <c r="V156" s="194">
        <f t="shared" si="72"/>
        <v>526.30992397775617</v>
      </c>
      <c r="W156" s="32"/>
      <c r="X156" s="62"/>
      <c r="Y156" s="62"/>
      <c r="Z156" s="62"/>
      <c r="AA156" s="62"/>
      <c r="AB156" s="62"/>
      <c r="AD156" s="43"/>
      <c r="AE156" s="43"/>
      <c r="AF156" s="43"/>
      <c r="AG156" s="43"/>
      <c r="AH156" s="43"/>
      <c r="AI156" s="43"/>
      <c r="AJ156" s="43"/>
      <c r="AK156" s="43"/>
      <c r="AL156" s="43"/>
      <c r="AM156" s="18"/>
      <c r="AN156" s="18"/>
      <c r="AO156" s="166"/>
    </row>
    <row r="157" spans="1:41" ht="12" customHeight="1">
      <c r="H157" s="34">
        <f t="shared" si="54"/>
        <v>30</v>
      </c>
      <c r="L157" s="62"/>
      <c r="M157" s="167"/>
      <c r="N157" s="62"/>
      <c r="O157" s="194">
        <f>+O156*O152/O151</f>
        <v>548.74783170265664</v>
      </c>
      <c r="P157" s="180" t="s">
        <v>83</v>
      </c>
      <c r="Q157" s="194">
        <f>+Q156*Q152/Q151</f>
        <v>513.22620547202041</v>
      </c>
      <c r="R157" s="194">
        <f t="shared" ref="R157:V157" si="73">+R156*R152/R151</f>
        <v>548.74783170265664</v>
      </c>
      <c r="S157" s="194">
        <f t="shared" si="73"/>
        <v>589.87361619683304</v>
      </c>
      <c r="T157" s="194">
        <f t="shared" si="73"/>
        <v>642.24587889130169</v>
      </c>
      <c r="U157" s="194">
        <f t="shared" si="73"/>
        <v>554.3167561042228</v>
      </c>
      <c r="V157" s="194">
        <f t="shared" si="73"/>
        <v>517.4050339335605</v>
      </c>
      <c r="W157" s="32"/>
      <c r="X157" s="62"/>
      <c r="Y157" s="62"/>
      <c r="Z157" s="62"/>
      <c r="AA157" s="62"/>
      <c r="AB157" s="62"/>
      <c r="AD157" s="43"/>
      <c r="AE157" s="43"/>
      <c r="AF157" s="43"/>
      <c r="AG157" s="43"/>
      <c r="AH157" s="43"/>
      <c r="AI157" s="43"/>
      <c r="AJ157" s="43"/>
      <c r="AK157" s="43"/>
      <c r="AL157" s="43"/>
      <c r="AM157" s="18"/>
      <c r="AN157" s="18"/>
      <c r="AO157" s="166"/>
    </row>
    <row r="158" spans="1:41" ht="12" customHeight="1">
      <c r="H158" s="34">
        <f t="shared" si="54"/>
        <v>31</v>
      </c>
      <c r="L158" s="62"/>
      <c r="M158" s="167"/>
      <c r="N158" s="62"/>
      <c r="O158" s="194">
        <f>+O156*O153/O151</f>
        <v>523.25498045848417</v>
      </c>
      <c r="P158" s="180" t="s">
        <v>82</v>
      </c>
      <c r="Q158" s="194">
        <f>+Q156*Q153/Q151</f>
        <v>490.76559532473863</v>
      </c>
      <c r="R158" s="194">
        <f t="shared" ref="R158:V158" si="74">+R156*R153/R151</f>
        <v>523.25498045848417</v>
      </c>
      <c r="S158" s="194">
        <f t="shared" si="74"/>
        <v>561.53708601184303</v>
      </c>
      <c r="T158" s="194">
        <f t="shared" si="74"/>
        <v>610.51156612914997</v>
      </c>
      <c r="U158" s="194">
        <f t="shared" si="74"/>
        <v>531.5249014171518</v>
      </c>
      <c r="V158" s="194">
        <f t="shared" si="74"/>
        <v>496.82681156685777</v>
      </c>
      <c r="W158" s="32"/>
      <c r="X158" s="62"/>
      <c r="Y158" s="62"/>
      <c r="Z158" s="62"/>
      <c r="AA158" s="62"/>
      <c r="AB158" s="62"/>
      <c r="AD158" s="43"/>
      <c r="AE158" s="43"/>
      <c r="AF158" s="43"/>
      <c r="AG158" s="43"/>
      <c r="AH158" s="43"/>
      <c r="AI158" s="43"/>
      <c r="AJ158" s="43"/>
      <c r="AK158" s="43"/>
      <c r="AL158" s="43"/>
      <c r="AM158" s="18"/>
      <c r="AN158" s="18"/>
      <c r="AO158" s="166"/>
    </row>
    <row r="159" spans="1:41" ht="12" customHeight="1">
      <c r="H159" s="34">
        <f t="shared" si="54"/>
        <v>32</v>
      </c>
      <c r="L159" s="62"/>
      <c r="M159" s="167"/>
      <c r="N159" s="62"/>
      <c r="O159" s="194">
        <f>+O156-O158</f>
        <v>36.524466764554745</v>
      </c>
      <c r="P159" s="180" t="s">
        <v>81</v>
      </c>
      <c r="Q159" s="194">
        <f>+Q156-Q158</f>
        <v>32.180072796821435</v>
      </c>
      <c r="R159" s="194">
        <f t="shared" ref="R159:V159" si="75">+R156-R158</f>
        <v>36.524466764554745</v>
      </c>
      <c r="S159" s="194">
        <f t="shared" si="75"/>
        <v>40.598701379119348</v>
      </c>
      <c r="T159" s="194">
        <f t="shared" si="75"/>
        <v>45.466818939766654</v>
      </c>
      <c r="U159" s="194">
        <f t="shared" si="75"/>
        <v>32.654658007733815</v>
      </c>
      <c r="V159" s="194">
        <f t="shared" si="75"/>
        <v>29.4831124108984</v>
      </c>
      <c r="W159" s="32"/>
      <c r="X159" s="62"/>
      <c r="Y159" s="62"/>
      <c r="Z159" s="62"/>
      <c r="AA159" s="62"/>
      <c r="AB159" s="62"/>
      <c r="AD159" s="42"/>
      <c r="AE159" s="42"/>
      <c r="AF159" s="42"/>
      <c r="AG159" s="42"/>
      <c r="AH159" s="42"/>
      <c r="AI159" s="42"/>
      <c r="AJ159" s="42"/>
      <c r="AK159" s="42"/>
      <c r="AL159" s="42"/>
      <c r="AM159" s="18"/>
      <c r="AN159" s="18"/>
      <c r="AO159" s="166"/>
    </row>
    <row r="160" spans="1:41" s="17" customFormat="1" ht="12" customHeight="1">
      <c r="A160" s="49"/>
      <c r="B160" s="49"/>
      <c r="C160" s="49"/>
      <c r="D160" s="49"/>
      <c r="E160" s="49"/>
      <c r="F160" s="18"/>
      <c r="H160" s="34">
        <f t="shared" si="54"/>
        <v>33</v>
      </c>
      <c r="I160" s="18"/>
      <c r="W160" s="201"/>
      <c r="X160" s="164"/>
      <c r="Y160" s="164"/>
      <c r="Z160" s="164"/>
      <c r="AA160" s="164"/>
      <c r="AB160" s="164"/>
      <c r="AD160" s="43"/>
      <c r="AE160" s="43"/>
      <c r="AF160" s="43"/>
      <c r="AG160" s="43"/>
      <c r="AH160" s="43"/>
      <c r="AI160" s="43"/>
      <c r="AJ160" s="43"/>
      <c r="AK160" s="43"/>
      <c r="AL160" s="43"/>
      <c r="AM160" s="18"/>
      <c r="AN160" s="18"/>
      <c r="AO160" s="166"/>
    </row>
    <row r="161" spans="1:41" ht="12" customHeight="1">
      <c r="A161" s="49" t="s">
        <v>15</v>
      </c>
      <c r="F161" s="39">
        <v>1000</v>
      </c>
      <c r="H161" s="34">
        <f t="shared" si="54"/>
        <v>34</v>
      </c>
      <c r="J161" s="196" t="s">
        <v>80</v>
      </c>
      <c r="L161" s="62"/>
      <c r="M161" s="167"/>
      <c r="N161" s="213"/>
      <c r="O161" s="197">
        <v>458.99999999999989</v>
      </c>
      <c r="P161" s="196" t="str">
        <f>J161</f>
        <v>Odkupna cena; vir podatkov SURS; preračuni KIS</v>
      </c>
      <c r="Q161" s="197">
        <v>458.99999999999994</v>
      </c>
      <c r="R161" s="197">
        <v>458.99999999999989</v>
      </c>
      <c r="S161" s="197">
        <v>459</v>
      </c>
      <c r="T161" s="197">
        <v>459</v>
      </c>
      <c r="U161" s="197">
        <v>459</v>
      </c>
      <c r="V161" s="197">
        <v>458.99999999999989</v>
      </c>
      <c r="W161" s="32"/>
      <c r="X161" s="62"/>
      <c r="Y161" s="62"/>
      <c r="Z161" s="62"/>
      <c r="AA161" s="62"/>
      <c r="AB161" s="62"/>
      <c r="AD161" s="42"/>
      <c r="AE161" s="42"/>
      <c r="AF161" s="42"/>
      <c r="AG161" s="42"/>
      <c r="AH161" s="42"/>
      <c r="AI161" s="42"/>
      <c r="AJ161" s="42"/>
      <c r="AK161" s="42"/>
      <c r="AL161" s="42"/>
      <c r="AM161" s="18"/>
      <c r="AN161" s="18"/>
      <c r="AO161" s="166"/>
    </row>
    <row r="162" spans="1:41" s="17" customFormat="1" ht="12" customHeight="1">
      <c r="A162" s="49"/>
      <c r="B162" s="49"/>
      <c r="C162" s="49"/>
      <c r="D162" s="49"/>
      <c r="E162" s="49"/>
      <c r="F162" s="18"/>
      <c r="H162" s="34">
        <f t="shared" si="54"/>
        <v>35</v>
      </c>
      <c r="I162" s="18"/>
      <c r="J162" s="198" t="str">
        <f>+J125</f>
        <v>Bruto dodana vrednost</v>
      </c>
      <c r="K162" s="18"/>
      <c r="L162" s="164"/>
      <c r="M162" s="165"/>
      <c r="N162" s="164"/>
      <c r="O162" s="199">
        <f>O150+O149+O137-O135</f>
        <v>133.94762430519745</v>
      </c>
      <c r="P162" s="195">
        <f t="shared" ref="P162" si="76">P150+P149-P135</f>
        <v>0</v>
      </c>
      <c r="Q162" s="199">
        <f t="shared" ref="Q162:V162" si="77">Q150+Q149+Q137-Q135</f>
        <v>235.22902264131744</v>
      </c>
      <c r="R162" s="199">
        <f t="shared" si="77"/>
        <v>133.94762430519745</v>
      </c>
      <c r="S162" s="199">
        <f t="shared" si="77"/>
        <v>37.754970183230853</v>
      </c>
      <c r="T162" s="199">
        <f t="shared" si="77"/>
        <v>-51.458309226778283</v>
      </c>
      <c r="U162" s="199">
        <f t="shared" si="77"/>
        <v>71.387556075847669</v>
      </c>
      <c r="V162" s="199">
        <f t="shared" si="77"/>
        <v>168.4626636787475</v>
      </c>
      <c r="W162" s="201"/>
      <c r="X162" s="164"/>
      <c r="Y162" s="164"/>
      <c r="Z162" s="164"/>
      <c r="AA162" s="164"/>
      <c r="AB162" s="164"/>
      <c r="AD162" s="43"/>
      <c r="AE162" s="43"/>
      <c r="AF162" s="239" t="s">
        <v>145</v>
      </c>
      <c r="AG162" s="240"/>
      <c r="AH162" s="240"/>
      <c r="AI162" s="240"/>
      <c r="AJ162" s="240"/>
      <c r="AK162" s="240"/>
      <c r="AL162" s="240"/>
      <c r="AM162" s="240"/>
      <c r="AN162" s="240"/>
      <c r="AO162" s="166"/>
    </row>
    <row r="163" spans="1:41" ht="12" customHeight="1">
      <c r="A163" s="112" t="s">
        <v>11</v>
      </c>
      <c r="H163" s="34">
        <f t="shared" si="54"/>
        <v>36</v>
      </c>
      <c r="J163" s="182" t="s">
        <v>11</v>
      </c>
      <c r="K163" s="46"/>
      <c r="L163" s="62"/>
      <c r="M163" s="167"/>
      <c r="N163" s="62"/>
      <c r="O163" s="159">
        <v>137.44031811421749</v>
      </c>
      <c r="P163" s="43"/>
      <c r="Q163" s="159">
        <v>139.72282244480914</v>
      </c>
      <c r="R163" s="159">
        <v>137.44031811421749</v>
      </c>
      <c r="S163" s="159">
        <v>131.21875740375859</v>
      </c>
      <c r="T163" s="159">
        <v>123.13197466690049</v>
      </c>
      <c r="U163" s="159">
        <v>105.47149912167212</v>
      </c>
      <c r="V163" s="159">
        <v>111.0721099666529</v>
      </c>
      <c r="W163" s="32"/>
      <c r="X163" s="62"/>
      <c r="Y163" s="62"/>
      <c r="Z163" s="62"/>
      <c r="AA163" s="62"/>
      <c r="AB163" s="62"/>
      <c r="AD163" s="43"/>
      <c r="AE163" s="43"/>
      <c r="AF163" s="108" t="str">
        <f>"letina "&amp;M128</f>
        <v xml:space="preserve">letina </v>
      </c>
      <c r="AG163" s="18"/>
      <c r="AH163" s="18"/>
      <c r="AI163" s="18"/>
      <c r="AJ163" s="18"/>
      <c r="AK163" s="18"/>
      <c r="AL163" s="18"/>
      <c r="AM163" s="18"/>
      <c r="AN163" s="18"/>
      <c r="AO163" s="166"/>
    </row>
    <row r="164" spans="1:41" ht="12" customHeight="1">
      <c r="G164" s="62"/>
      <c r="H164" s="34">
        <f t="shared" si="54"/>
        <v>37</v>
      </c>
      <c r="J164" s="18" t="s">
        <v>157</v>
      </c>
      <c r="K164" s="46"/>
      <c r="L164" s="62"/>
      <c r="M164" s="167"/>
      <c r="N164" s="62"/>
      <c r="O164" s="220">
        <f>+O162-O163</f>
        <v>-3.4926938090200395</v>
      </c>
      <c r="P164" s="167"/>
      <c r="Q164" s="220">
        <f>+Q162-Q163</f>
        <v>95.506200196508303</v>
      </c>
      <c r="R164" s="220">
        <f t="shared" ref="R164:V164" si="78">+R162-R163</f>
        <v>-3.4926938090200395</v>
      </c>
      <c r="S164" s="220">
        <f t="shared" si="78"/>
        <v>-93.463787220527735</v>
      </c>
      <c r="T164" s="220">
        <f t="shared" si="78"/>
        <v>-174.59028389367876</v>
      </c>
      <c r="U164" s="220">
        <f t="shared" si="78"/>
        <v>-34.083943045824455</v>
      </c>
      <c r="V164" s="220">
        <f t="shared" si="78"/>
        <v>57.390553712094601</v>
      </c>
      <c r="W164" s="32"/>
      <c r="X164" s="62"/>
      <c r="Y164" s="62"/>
      <c r="Z164" s="62"/>
      <c r="AA164" s="62"/>
      <c r="AB164" s="62"/>
      <c r="AD164" s="166"/>
      <c r="AE164" s="166"/>
      <c r="AF164" s="166"/>
      <c r="AG164" s="166"/>
      <c r="AH164" s="166"/>
      <c r="AI164" s="166"/>
      <c r="AJ164" s="166"/>
      <c r="AK164" s="166"/>
      <c r="AL164" s="166"/>
      <c r="AM164" s="166"/>
      <c r="AN164" s="166"/>
      <c r="AO164" s="166"/>
    </row>
    <row r="165" spans="1:41" ht="12" customHeight="1">
      <c r="A165" s="129"/>
      <c r="B165" s="129"/>
      <c r="C165" s="129"/>
      <c r="D165" s="129"/>
      <c r="E165" s="129"/>
      <c r="F165" s="61"/>
      <c r="G165" s="61"/>
      <c r="H165" s="61">
        <f>1</f>
        <v>1</v>
      </c>
      <c r="I165" s="61" t="str">
        <f>+J167</f>
        <v>Koruza za zrnje</v>
      </c>
      <c r="J165" s="60" t="s">
        <v>115</v>
      </c>
      <c r="K165" s="61"/>
      <c r="L165" s="61"/>
      <c r="M165" s="61"/>
      <c r="N165" s="61"/>
      <c r="O165" s="145" t="e">
        <f>O173-O185+O178-'2026'!#REF!</f>
        <v>#REF!</v>
      </c>
      <c r="P165" s="61"/>
      <c r="Q165" s="145" t="e">
        <f>Q173-Q185+Q178-'2026'!#REF!</f>
        <v>#REF!</v>
      </c>
      <c r="R165" s="145" t="e">
        <f>R173-R185+R178-'2026'!#REF!</f>
        <v>#REF!</v>
      </c>
      <c r="S165" s="145" t="e">
        <f>S173-S185+S178-'2026'!#REF!</f>
        <v>#REF!</v>
      </c>
      <c r="T165" s="145" t="e">
        <f>T173-T185+T178-'2026'!#REF!</f>
        <v>#REF!</v>
      </c>
      <c r="U165" s="145" t="e">
        <f>U173-U185+U178-'2026'!#REF!</f>
        <v>#REF!</v>
      </c>
      <c r="V165" s="145" t="e">
        <f>V173-V185+V178-'2026'!#REF!</f>
        <v>#REF!</v>
      </c>
      <c r="W165" s="61"/>
      <c r="X165" s="61"/>
      <c r="Y165" s="61"/>
      <c r="Z165" s="61"/>
      <c r="AA165" s="61"/>
      <c r="AB165" s="61"/>
      <c r="AC165" s="61"/>
      <c r="AD165" s="146"/>
      <c r="AE165" s="147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</row>
    <row r="166" spans="1:41" s="38" customFormat="1" ht="11.25" customHeight="1">
      <c r="A166" s="49"/>
      <c r="B166" s="49"/>
      <c r="C166" s="49"/>
      <c r="D166" s="49"/>
      <c r="E166" s="49"/>
      <c r="F166" s="18"/>
      <c r="G166" s="30"/>
      <c r="H166" s="34">
        <f>H165+1</f>
        <v>2</v>
      </c>
      <c r="I166" s="38" t="str">
        <f>+I165</f>
        <v>Koruza za zrnje</v>
      </c>
      <c r="J166" s="36" t="s">
        <v>116</v>
      </c>
      <c r="K166" s="37"/>
      <c r="L166" s="37"/>
      <c r="M166" s="148"/>
      <c r="N166" s="37"/>
      <c r="O166" s="204" t="e">
        <f>#REF!</f>
        <v>#REF!</v>
      </c>
      <c r="P166" s="204"/>
      <c r="Q166" s="149" t="s">
        <v>119</v>
      </c>
      <c r="R166" s="149" t="s">
        <v>120</v>
      </c>
      <c r="S166" s="149" t="s">
        <v>118</v>
      </c>
      <c r="T166" s="149" t="s">
        <v>121</v>
      </c>
      <c r="U166" s="149" t="s">
        <v>164</v>
      </c>
      <c r="V166" s="37" t="s">
        <v>165</v>
      </c>
      <c r="W166" s="37"/>
      <c r="X166" s="37"/>
      <c r="Y166" s="37"/>
      <c r="Z166" s="37"/>
      <c r="AA166" s="37"/>
      <c r="AB166" s="37"/>
      <c r="AD166" s="166"/>
      <c r="AE166" s="166"/>
      <c r="AF166" s="166"/>
      <c r="AG166" s="166"/>
      <c r="AH166" s="166"/>
      <c r="AI166" s="166"/>
      <c r="AJ166" s="166"/>
      <c r="AK166" s="166"/>
      <c r="AL166" s="166"/>
      <c r="AM166" s="166"/>
      <c r="AN166" s="166"/>
      <c r="AO166" s="166"/>
    </row>
    <row r="167" spans="1:41" s="38" customFormat="1" ht="11.25" customHeight="1">
      <c r="A167" s="49"/>
      <c r="B167" s="49"/>
      <c r="C167" s="49"/>
      <c r="D167" s="49"/>
      <c r="E167" s="49"/>
      <c r="F167" s="32" t="e">
        <f>+#REF!</f>
        <v>#REF!</v>
      </c>
      <c r="G167" s="30"/>
      <c r="H167" s="34">
        <f t="shared" ref="H167:H201" si="79">H166+1</f>
        <v>3</v>
      </c>
      <c r="I167" s="38" t="str">
        <f>+I166</f>
        <v>Koruza za zrnje</v>
      </c>
      <c r="J167" s="40" t="s">
        <v>187</v>
      </c>
      <c r="K167" s="18" t="str">
        <f>+K$56</f>
        <v>Enota</v>
      </c>
      <c r="L167" s="102"/>
      <c r="M167" s="150"/>
      <c r="N167" s="144"/>
      <c r="O167" s="107"/>
      <c r="P167" s="107"/>
      <c r="Q167" s="18"/>
      <c r="R167" s="18"/>
      <c r="S167" s="107" t="e">
        <f>+$S$56</f>
        <v>#REF!</v>
      </c>
      <c r="T167" s="18"/>
      <c r="U167" s="107"/>
      <c r="AD167" s="166"/>
      <c r="AE167" s="166"/>
      <c r="AF167" s="166"/>
      <c r="AG167" s="166"/>
      <c r="AH167" s="166"/>
      <c r="AI167" s="166"/>
      <c r="AJ167" s="166"/>
      <c r="AK167" s="166"/>
      <c r="AL167" s="166"/>
      <c r="AM167" s="166"/>
      <c r="AN167" s="166"/>
      <c r="AO167" s="166"/>
    </row>
    <row r="168" spans="1:41" s="38" customFormat="1" ht="11.25" customHeight="1">
      <c r="A168" s="49"/>
      <c r="B168" s="49"/>
      <c r="C168" s="49"/>
      <c r="D168" s="49"/>
      <c r="E168" s="49"/>
      <c r="F168" s="18"/>
      <c r="G168" s="30"/>
      <c r="H168" s="34">
        <f t="shared" si="79"/>
        <v>4</v>
      </c>
      <c r="I168" s="38" t="str">
        <f>+I167</f>
        <v>Koruza za zrnje</v>
      </c>
      <c r="J168" s="17" t="s">
        <v>65</v>
      </c>
      <c r="K168" s="18"/>
      <c r="L168" s="102"/>
      <c r="M168" s="150"/>
      <c r="N168" s="144"/>
      <c r="O168" s="107"/>
      <c r="P168" s="107"/>
      <c r="Q168" s="102" t="s">
        <v>64</v>
      </c>
      <c r="R168" s="102" t="s">
        <v>63</v>
      </c>
      <c r="S168" s="102" t="s">
        <v>62</v>
      </c>
      <c r="T168" s="102" t="s">
        <v>61</v>
      </c>
      <c r="U168" s="102" t="s">
        <v>60</v>
      </c>
      <c r="V168" s="102" t="s">
        <v>59</v>
      </c>
      <c r="W168" s="102"/>
      <c r="X168" s="144" t="s">
        <v>181</v>
      </c>
      <c r="Y168" s="102"/>
      <c r="Z168" s="102"/>
      <c r="AA168" s="102"/>
      <c r="AB168" s="102"/>
      <c r="AD168" s="166"/>
      <c r="AE168" s="166"/>
      <c r="AF168" s="166"/>
      <c r="AG168" s="166"/>
      <c r="AH168" s="166"/>
      <c r="AI168" s="166"/>
      <c r="AJ168" s="166"/>
      <c r="AK168" s="166"/>
      <c r="AL168" s="166"/>
      <c r="AM168" s="166"/>
      <c r="AN168" s="166"/>
      <c r="AO168" s="166"/>
    </row>
    <row r="169" spans="1:41" s="38" customFormat="1" ht="11.25" customHeight="1">
      <c r="A169" s="49" t="s">
        <v>9</v>
      </c>
      <c r="B169" s="49"/>
      <c r="C169" s="49"/>
      <c r="D169" s="49"/>
      <c r="E169" s="49"/>
      <c r="F169" s="18"/>
      <c r="G169" s="30"/>
      <c r="H169" s="34">
        <f t="shared" si="79"/>
        <v>5</v>
      </c>
      <c r="I169" s="38" t="str">
        <f>+I168</f>
        <v>Koruza za zrnje</v>
      </c>
      <c r="J169" s="17" t="s">
        <v>8</v>
      </c>
      <c r="K169" s="18" t="s">
        <v>7</v>
      </c>
      <c r="L169" s="152"/>
      <c r="M169" s="205"/>
      <c r="N169" s="154"/>
      <c r="O169" s="159">
        <v>10000</v>
      </c>
      <c r="P169" s="18"/>
      <c r="Q169" s="159">
        <v>12000</v>
      </c>
      <c r="R169" s="159">
        <v>11000</v>
      </c>
      <c r="S169" s="159">
        <v>10000</v>
      </c>
      <c r="T169" s="159">
        <v>9000</v>
      </c>
      <c r="U169" s="159">
        <v>8000</v>
      </c>
      <c r="V169" s="159">
        <v>10000</v>
      </c>
      <c r="W169" s="102"/>
      <c r="X169" s="102" t="s">
        <v>64</v>
      </c>
      <c r="Y169" s="102" t="s">
        <v>62</v>
      </c>
      <c r="Z169" s="102" t="s">
        <v>61</v>
      </c>
      <c r="AA169" s="102" t="s">
        <v>76</v>
      </c>
      <c r="AB169" s="102" t="s">
        <v>125</v>
      </c>
      <c r="AD169" s="166"/>
      <c r="AE169" s="166"/>
      <c r="AF169" s="166"/>
      <c r="AG169" s="166"/>
      <c r="AH169" s="166"/>
      <c r="AI169" s="166"/>
      <c r="AJ169" s="166"/>
      <c r="AK169" s="166"/>
      <c r="AL169" s="166"/>
      <c r="AM169" s="166"/>
      <c r="AN169" s="166"/>
      <c r="AO169" s="166"/>
    </row>
    <row r="170" spans="1:41" s="38" customFormat="1" ht="11.25" customHeight="1">
      <c r="A170" s="49" t="s">
        <v>75</v>
      </c>
      <c r="B170" s="49"/>
      <c r="C170" s="49"/>
      <c r="D170" s="49"/>
      <c r="E170" s="49"/>
      <c r="F170" s="18"/>
      <c r="G170" s="30"/>
      <c r="H170" s="34">
        <f t="shared" si="79"/>
        <v>6</v>
      </c>
      <c r="J170" s="17"/>
      <c r="K170" s="18"/>
      <c r="L170" s="152"/>
      <c r="M170" s="205"/>
      <c r="N170" s="154"/>
      <c r="O170" s="152"/>
      <c r="P170" s="18"/>
      <c r="Q170" s="152"/>
      <c r="R170" s="152"/>
      <c r="S170" s="152"/>
      <c r="T170" s="152"/>
      <c r="U170" s="152"/>
      <c r="V170" s="152"/>
      <c r="W170" s="102"/>
      <c r="X170" s="102"/>
      <c r="Y170" s="102"/>
      <c r="Z170" s="102"/>
      <c r="AA170" s="102"/>
      <c r="AB170" s="102"/>
      <c r="AD170" s="166"/>
      <c r="AE170" s="166"/>
      <c r="AF170" s="166"/>
      <c r="AG170" s="166"/>
      <c r="AH170" s="166"/>
      <c r="AI170" s="166"/>
      <c r="AJ170" s="166"/>
      <c r="AK170" s="166"/>
      <c r="AL170" s="166"/>
      <c r="AM170" s="166"/>
      <c r="AN170" s="166"/>
      <c r="AO170" s="166"/>
    </row>
    <row r="171" spans="1:41" s="38" customFormat="1" ht="11.25" customHeight="1">
      <c r="A171" s="49" t="s">
        <v>72</v>
      </c>
      <c r="B171" s="49"/>
      <c r="C171" s="49"/>
      <c r="D171" s="49"/>
      <c r="E171" s="49"/>
      <c r="F171" s="18"/>
      <c r="G171" s="30"/>
      <c r="H171" s="34">
        <f t="shared" si="79"/>
        <v>7</v>
      </c>
      <c r="I171" s="38" t="str">
        <f>+I169</f>
        <v>Koruza za zrnje</v>
      </c>
      <c r="J171" s="17" t="s">
        <v>71</v>
      </c>
      <c r="K171" s="18" t="s">
        <v>70</v>
      </c>
      <c r="L171" s="102"/>
      <c r="M171" s="150"/>
      <c r="N171" s="144"/>
      <c r="O171" s="159">
        <v>1</v>
      </c>
      <c r="P171" s="159"/>
      <c r="Q171" s="159">
        <v>1</v>
      </c>
      <c r="R171" s="159">
        <v>1</v>
      </c>
      <c r="S171" s="159">
        <v>1</v>
      </c>
      <c r="T171" s="159">
        <v>1</v>
      </c>
      <c r="U171" s="159">
        <v>1</v>
      </c>
      <c r="V171" s="159">
        <v>5</v>
      </c>
      <c r="W171" s="102"/>
      <c r="X171" s="147">
        <f>Q171/$S171*100</f>
        <v>100</v>
      </c>
      <c r="Y171" s="147">
        <f t="shared" ref="Y171:AB186" si="80">R171/$S171*100</f>
        <v>100</v>
      </c>
      <c r="Z171" s="147">
        <f t="shared" si="80"/>
        <v>100</v>
      </c>
      <c r="AA171" s="147">
        <f t="shared" si="80"/>
        <v>100</v>
      </c>
      <c r="AB171" s="147">
        <f t="shared" si="80"/>
        <v>100</v>
      </c>
      <c r="AD171" s="166"/>
      <c r="AE171" s="166"/>
      <c r="AF171" s="166"/>
      <c r="AG171" s="166"/>
      <c r="AH171" s="166"/>
      <c r="AI171" s="166"/>
      <c r="AJ171" s="166"/>
      <c r="AK171" s="166"/>
      <c r="AL171" s="166"/>
      <c r="AM171" s="166"/>
      <c r="AN171" s="166"/>
      <c r="AO171" s="166"/>
    </row>
    <row r="172" spans="1:41" s="38" customFormat="1" ht="11.25" customHeight="1">
      <c r="A172" s="112" t="s">
        <v>12</v>
      </c>
      <c r="B172" s="49"/>
      <c r="C172" s="49"/>
      <c r="D172" s="49"/>
      <c r="E172" s="49"/>
      <c r="F172" s="18"/>
      <c r="G172" s="30"/>
      <c r="H172" s="34">
        <f t="shared" si="79"/>
        <v>8</v>
      </c>
      <c r="I172" s="38" t="str">
        <f t="shared" ref="I172:I178" si="81">+I171</f>
        <v>Koruza za zrnje</v>
      </c>
      <c r="J172" s="17" t="str">
        <f>+J$61</f>
        <v>Kupljen material in storitve</v>
      </c>
      <c r="K172" s="18"/>
      <c r="L172" s="18"/>
      <c r="M172" s="136"/>
      <c r="N172" s="18"/>
      <c r="O172" s="159">
        <v>1930.8481421366976</v>
      </c>
      <c r="P172" s="18"/>
      <c r="Q172" s="159">
        <v>2187.9820004251528</v>
      </c>
      <c r="R172" s="159">
        <v>2052.2985392453343</v>
      </c>
      <c r="S172" s="159">
        <v>1930.8481421366976</v>
      </c>
      <c r="T172" s="159">
        <v>1808.8039551951931</v>
      </c>
      <c r="U172" s="159">
        <v>1657.8081182536882</v>
      </c>
      <c r="V172" s="159">
        <v>1897.3463812824402</v>
      </c>
      <c r="W172" s="152"/>
      <c r="X172" s="147">
        <f t="shared" ref="X172:X187" si="82">Q172/$S172*100</f>
        <v>113.31714559405528</v>
      </c>
      <c r="Y172" s="147">
        <f t="shared" si="80"/>
        <v>106.29000253609992</v>
      </c>
      <c r="Z172" s="147">
        <f t="shared" si="80"/>
        <v>100</v>
      </c>
      <c r="AA172" s="147">
        <f t="shared" si="80"/>
        <v>93.679244665691357</v>
      </c>
      <c r="AB172" s="147">
        <f t="shared" si="80"/>
        <v>85.859062764984699</v>
      </c>
      <c r="AD172" s="166"/>
      <c r="AE172" s="166"/>
      <c r="AF172" s="166"/>
      <c r="AG172" s="166"/>
      <c r="AH172" s="166"/>
      <c r="AI172" s="166"/>
      <c r="AJ172" s="166"/>
      <c r="AK172" s="166"/>
      <c r="AL172" s="166"/>
      <c r="AM172" s="166"/>
      <c r="AN172" s="166"/>
      <c r="AO172" s="166"/>
    </row>
    <row r="173" spans="1:41" s="44" customFormat="1" ht="11.25" customHeight="1">
      <c r="A173" s="49" t="s">
        <v>5</v>
      </c>
      <c r="B173" s="49"/>
      <c r="C173" s="49"/>
      <c r="D173" s="49"/>
      <c r="E173" s="49"/>
      <c r="F173" s="18"/>
      <c r="G173" s="30"/>
      <c r="H173" s="34">
        <f t="shared" si="79"/>
        <v>9</v>
      </c>
      <c r="I173" s="38" t="str">
        <f t="shared" si="81"/>
        <v>Koruza za zrnje</v>
      </c>
      <c r="J173" s="17" t="str">
        <f>+J$62</f>
        <v>Stroški skupaj</v>
      </c>
      <c r="K173" s="18" t="str">
        <f>+K$62</f>
        <v>EUR/ha</v>
      </c>
      <c r="L173" s="43"/>
      <c r="M173" s="214"/>
      <c r="N173" s="42"/>
      <c r="O173" s="159">
        <v>2474.0679625382022</v>
      </c>
      <c r="P173" s="42"/>
      <c r="Q173" s="159">
        <v>2764.2865382087793</v>
      </c>
      <c r="R173" s="159">
        <v>2598.9796195425688</v>
      </c>
      <c r="S173" s="159">
        <v>2474.0679625382022</v>
      </c>
      <c r="T173" s="159">
        <v>2348.514550689883</v>
      </c>
      <c r="U173" s="159">
        <v>2193.5434666223859</v>
      </c>
      <c r="V173" s="159">
        <v>2356.3468827808551</v>
      </c>
      <c r="W173" s="156"/>
      <c r="X173" s="147">
        <f t="shared" si="82"/>
        <v>111.73042050845019</v>
      </c>
      <c r="Y173" s="147">
        <f t="shared" si="80"/>
        <v>105.04883693155369</v>
      </c>
      <c r="Z173" s="147">
        <f t="shared" si="80"/>
        <v>100</v>
      </c>
      <c r="AA173" s="147">
        <f t="shared" si="80"/>
        <v>94.925223811575847</v>
      </c>
      <c r="AB173" s="147">
        <f t="shared" si="80"/>
        <v>88.661407036368573</v>
      </c>
      <c r="AD173" s="166"/>
      <c r="AE173" s="166"/>
      <c r="AF173" s="166"/>
      <c r="AG173" s="166"/>
      <c r="AH173" s="166"/>
      <c r="AI173" s="166"/>
      <c r="AJ173" s="166"/>
      <c r="AK173" s="166"/>
      <c r="AL173" s="166"/>
      <c r="AM173" s="166"/>
      <c r="AN173" s="166"/>
      <c r="AO173" s="166"/>
    </row>
    <row r="174" spans="1:41" s="38" customFormat="1" ht="11.25" customHeight="1">
      <c r="A174" s="49" t="s">
        <v>4</v>
      </c>
      <c r="B174" s="49"/>
      <c r="C174" s="49"/>
      <c r="D174" s="49"/>
      <c r="E174" s="49"/>
      <c r="F174" s="18"/>
      <c r="G174" s="30"/>
      <c r="H174" s="34">
        <f t="shared" si="79"/>
        <v>10</v>
      </c>
      <c r="I174" s="38" t="str">
        <f t="shared" si="81"/>
        <v>Koruza za zrnje</v>
      </c>
      <c r="J174" s="17" t="str">
        <f>+J$63</f>
        <v>Stranski pridelki</v>
      </c>
      <c r="K174" s="18" t="str">
        <f>+K$63</f>
        <v>EUR/ha</v>
      </c>
      <c r="L174" s="43"/>
      <c r="M174" s="214"/>
      <c r="N174" s="43"/>
      <c r="O174" s="159">
        <v>0</v>
      </c>
      <c r="P174" s="43"/>
      <c r="Q174" s="159">
        <v>0</v>
      </c>
      <c r="R174" s="159">
        <v>0</v>
      </c>
      <c r="S174" s="159">
        <v>0</v>
      </c>
      <c r="T174" s="159">
        <v>0</v>
      </c>
      <c r="U174" s="159">
        <v>0</v>
      </c>
      <c r="V174" s="159">
        <v>0</v>
      </c>
      <c r="W174" s="201"/>
      <c r="X174" s="147" t="e">
        <f t="shared" si="82"/>
        <v>#DIV/0!</v>
      </c>
      <c r="Y174" s="147" t="e">
        <f t="shared" si="80"/>
        <v>#DIV/0!</v>
      </c>
      <c r="Z174" s="147" t="e">
        <f t="shared" si="80"/>
        <v>#DIV/0!</v>
      </c>
      <c r="AA174" s="147" t="e">
        <f t="shared" si="80"/>
        <v>#DIV/0!</v>
      </c>
      <c r="AB174" s="147" t="e">
        <f t="shared" si="80"/>
        <v>#DIV/0!</v>
      </c>
      <c r="AD174" s="166"/>
      <c r="AE174" s="166"/>
      <c r="AF174" s="166"/>
      <c r="AG174" s="166"/>
      <c r="AH174" s="166"/>
      <c r="AI174" s="166"/>
      <c r="AJ174" s="166"/>
      <c r="AK174" s="166"/>
      <c r="AL174" s="166"/>
      <c r="AM174" s="166"/>
      <c r="AN174" s="166"/>
      <c r="AO174" s="166"/>
    </row>
    <row r="175" spans="1:41" s="38" customFormat="1" ht="11.25" customHeight="1">
      <c r="A175" s="49"/>
      <c r="B175" s="49"/>
      <c r="C175" s="49"/>
      <c r="D175" s="49"/>
      <c r="E175" s="49"/>
      <c r="F175" s="18"/>
      <c r="G175" s="30"/>
      <c r="H175" s="34">
        <f t="shared" si="79"/>
        <v>11</v>
      </c>
      <c r="I175" s="38" t="str">
        <f t="shared" si="81"/>
        <v>Koruza za zrnje</v>
      </c>
      <c r="J175" s="17" t="str">
        <f>+J$64</f>
        <v>Stroški glavnega pridelka</v>
      </c>
      <c r="K175" s="18" t="str">
        <f>+K$64</f>
        <v>EUR/ha</v>
      </c>
      <c r="L175" s="215"/>
      <c r="M175" s="214"/>
      <c r="N175" s="215"/>
      <c r="O175" s="169">
        <f>+O173-O174</f>
        <v>2474.0679625382022</v>
      </c>
      <c r="P175" s="43"/>
      <c r="Q175" s="169">
        <f>+Q173-Q174</f>
        <v>2764.2865382087793</v>
      </c>
      <c r="R175" s="169">
        <f t="shared" ref="R175:V175" si="83">+R173-R174</f>
        <v>2598.9796195425688</v>
      </c>
      <c r="S175" s="169">
        <f t="shared" si="83"/>
        <v>2474.0679625382022</v>
      </c>
      <c r="T175" s="169">
        <f t="shared" si="83"/>
        <v>2348.514550689883</v>
      </c>
      <c r="U175" s="169">
        <f t="shared" si="83"/>
        <v>2193.5434666223859</v>
      </c>
      <c r="V175" s="169">
        <f t="shared" si="83"/>
        <v>2356.3468827808551</v>
      </c>
      <c r="W175" s="32"/>
      <c r="X175" s="147">
        <f t="shared" si="82"/>
        <v>111.73042050845019</v>
      </c>
      <c r="Y175" s="147">
        <f t="shared" si="80"/>
        <v>105.04883693155369</v>
      </c>
      <c r="Z175" s="147">
        <f t="shared" si="80"/>
        <v>100</v>
      </c>
      <c r="AA175" s="147">
        <f t="shared" si="80"/>
        <v>94.925223811575847</v>
      </c>
      <c r="AB175" s="147">
        <f t="shared" si="80"/>
        <v>88.661407036368573</v>
      </c>
      <c r="AD175" s="166"/>
      <c r="AE175" s="166"/>
      <c r="AF175" s="166"/>
      <c r="AG175" s="166"/>
      <c r="AH175" s="166"/>
      <c r="AI175" s="166"/>
      <c r="AJ175" s="166"/>
      <c r="AK175" s="166"/>
      <c r="AL175" s="166"/>
      <c r="AM175" s="166"/>
      <c r="AN175" s="166"/>
      <c r="AO175" s="166"/>
    </row>
    <row r="176" spans="1:41" s="38" customFormat="1" ht="11.25" customHeight="1">
      <c r="A176" s="49" t="s">
        <v>3</v>
      </c>
      <c r="B176" s="49" t="s">
        <v>0</v>
      </c>
      <c r="C176" s="49" t="s">
        <v>2</v>
      </c>
      <c r="D176" s="49" t="s">
        <v>1</v>
      </c>
      <c r="E176" s="49" t="s">
        <v>0</v>
      </c>
      <c r="F176" s="18"/>
      <c r="G176" s="30"/>
      <c r="H176" s="34">
        <f t="shared" si="79"/>
        <v>12</v>
      </c>
      <c r="I176" s="38" t="str">
        <f t="shared" si="81"/>
        <v>Koruza za zrnje</v>
      </c>
      <c r="J176" s="17" t="str">
        <f>+J$65</f>
        <v>Subvencije</v>
      </c>
      <c r="K176" s="18" t="str">
        <f>+K$65</f>
        <v>EUR/ha</v>
      </c>
      <c r="L176" s="43"/>
      <c r="M176" s="214"/>
      <c r="N176" s="43"/>
      <c r="O176" s="159">
        <v>23.94</v>
      </c>
      <c r="P176" s="43"/>
      <c r="Q176" s="159">
        <v>23.94</v>
      </c>
      <c r="R176" s="159">
        <v>23.94</v>
      </c>
      <c r="S176" s="159">
        <v>23.94</v>
      </c>
      <c r="T176" s="159">
        <v>23.94</v>
      </c>
      <c r="U176" s="159">
        <v>23.94</v>
      </c>
      <c r="V176" s="159">
        <v>23.94</v>
      </c>
      <c r="W176" s="32"/>
      <c r="X176" s="147">
        <f t="shared" si="82"/>
        <v>100</v>
      </c>
      <c r="Y176" s="147">
        <f t="shared" si="80"/>
        <v>100</v>
      </c>
      <c r="Z176" s="147">
        <f t="shared" si="80"/>
        <v>100</v>
      </c>
      <c r="AA176" s="147">
        <f t="shared" si="80"/>
        <v>100</v>
      </c>
      <c r="AB176" s="147">
        <f t="shared" si="80"/>
        <v>100</v>
      </c>
      <c r="AD176" s="166"/>
      <c r="AE176" s="166"/>
      <c r="AF176" s="166"/>
      <c r="AG176" s="166"/>
      <c r="AH176" s="166"/>
      <c r="AI176" s="166"/>
      <c r="AJ176" s="166"/>
      <c r="AK176" s="166"/>
      <c r="AL176" s="166"/>
      <c r="AM176" s="166"/>
      <c r="AN176" s="166"/>
      <c r="AO176" s="166"/>
    </row>
    <row r="177" spans="1:41" s="38" customFormat="1" ht="11.25" customHeight="1">
      <c r="A177" s="49"/>
      <c r="B177" s="49"/>
      <c r="C177" s="49" t="s">
        <v>6</v>
      </c>
      <c r="D177" s="49"/>
      <c r="E177" s="49"/>
      <c r="F177" s="18"/>
      <c r="G177" s="30"/>
      <c r="H177" s="34">
        <f t="shared" si="79"/>
        <v>13</v>
      </c>
      <c r="I177" s="38" t="str">
        <f t="shared" si="81"/>
        <v>Koruza za zrnje</v>
      </c>
      <c r="J177" s="17" t="str">
        <f>+J$66</f>
        <v>Stroški, zmanjšani za subvencije</v>
      </c>
      <c r="K177" s="18" t="str">
        <f>+K$66</f>
        <v>EUR/ha</v>
      </c>
      <c r="L177" s="215"/>
      <c r="M177" s="214"/>
      <c r="N177" s="215"/>
      <c r="O177" s="171">
        <f>+O175-O176</f>
        <v>2450.1279625382022</v>
      </c>
      <c r="P177" s="43"/>
      <c r="Q177" s="171">
        <f>+Q175-Q176</f>
        <v>2740.3465382087793</v>
      </c>
      <c r="R177" s="171">
        <f t="shared" ref="R177:V177" si="84">+R175-R176</f>
        <v>2575.0396195425687</v>
      </c>
      <c r="S177" s="171">
        <f t="shared" si="84"/>
        <v>2450.1279625382022</v>
      </c>
      <c r="T177" s="171">
        <f t="shared" si="84"/>
        <v>2324.5745506898829</v>
      </c>
      <c r="U177" s="171">
        <f t="shared" si="84"/>
        <v>2169.6034666223859</v>
      </c>
      <c r="V177" s="171">
        <f t="shared" si="84"/>
        <v>2332.4068827808551</v>
      </c>
      <c r="W177" s="32"/>
      <c r="X177" s="147">
        <f t="shared" si="82"/>
        <v>111.84503748816148</v>
      </c>
      <c r="Y177" s="147">
        <f t="shared" si="80"/>
        <v>105.09816870442002</v>
      </c>
      <c r="Z177" s="147">
        <f t="shared" si="80"/>
        <v>100</v>
      </c>
      <c r="AA177" s="147">
        <f t="shared" si="80"/>
        <v>94.875638588351421</v>
      </c>
      <c r="AB177" s="147">
        <f t="shared" si="80"/>
        <v>88.550618571561955</v>
      </c>
      <c r="AD177" s="166"/>
      <c r="AE177" s="166"/>
      <c r="AF177" s="166"/>
      <c r="AG177" s="166"/>
      <c r="AH177" s="166"/>
      <c r="AI177" s="166"/>
      <c r="AJ177" s="166"/>
      <c r="AK177" s="166"/>
      <c r="AL177" s="166"/>
      <c r="AM177" s="166"/>
      <c r="AN177" s="166"/>
      <c r="AO177" s="166"/>
    </row>
    <row r="178" spans="1:41" s="38" customFormat="1" ht="11.25" customHeight="1">
      <c r="A178" s="49"/>
      <c r="B178" s="49"/>
      <c r="C178" s="49"/>
      <c r="D178" s="49"/>
      <c r="E178" s="49"/>
      <c r="F178" s="18"/>
      <c r="G178" s="30"/>
      <c r="H178" s="34">
        <f t="shared" si="79"/>
        <v>14</v>
      </c>
      <c r="I178" s="38" t="str">
        <f t="shared" si="81"/>
        <v>Koruza za zrnje</v>
      </c>
      <c r="J178" s="17" t="str">
        <f>+J$67</f>
        <v>Stroški, zmanjšani za subvencije/kg</v>
      </c>
      <c r="K178" s="18" t="str">
        <f>+K$67</f>
        <v>EUR/kg</v>
      </c>
      <c r="L178" s="216"/>
      <c r="M178" s="217"/>
      <c r="N178" s="215"/>
      <c r="O178" s="177">
        <f>+O177/O169</f>
        <v>0.24501279625382022</v>
      </c>
      <c r="P178" s="218"/>
      <c r="Q178" s="177">
        <f>+Q177/Q169</f>
        <v>0.22836221151739827</v>
      </c>
      <c r="R178" s="177">
        <f t="shared" ref="R178:V178" si="85">+R177/R169</f>
        <v>0.23409451086750624</v>
      </c>
      <c r="S178" s="177">
        <f t="shared" si="85"/>
        <v>0.24501279625382022</v>
      </c>
      <c r="T178" s="177">
        <f t="shared" si="85"/>
        <v>0.25828606118776476</v>
      </c>
      <c r="U178" s="177">
        <f t="shared" si="85"/>
        <v>0.27120043332779825</v>
      </c>
      <c r="V178" s="177">
        <f t="shared" si="85"/>
        <v>0.2332406882780855</v>
      </c>
      <c r="W178" s="32"/>
      <c r="X178" s="147">
        <f t="shared" si="82"/>
        <v>93.204197906801227</v>
      </c>
      <c r="Y178" s="147">
        <f t="shared" si="80"/>
        <v>95.543789731290929</v>
      </c>
      <c r="Z178" s="147">
        <f t="shared" si="80"/>
        <v>100</v>
      </c>
      <c r="AA178" s="147">
        <f t="shared" si="80"/>
        <v>105.41737620927935</v>
      </c>
      <c r="AB178" s="147">
        <f t="shared" si="80"/>
        <v>110.68827321445245</v>
      </c>
      <c r="AD178" s="166"/>
      <c r="AE178" s="166"/>
      <c r="AF178" s="166"/>
      <c r="AG178" s="166"/>
      <c r="AH178" s="166"/>
      <c r="AI178" s="166"/>
      <c r="AJ178" s="166"/>
      <c r="AK178" s="166"/>
      <c r="AL178" s="166"/>
      <c r="AM178" s="166"/>
      <c r="AN178" s="166"/>
      <c r="AO178" s="166"/>
    </row>
    <row r="179" spans="1:41" s="38" customFormat="1" ht="11.25" customHeight="1">
      <c r="A179" s="49" t="s">
        <v>136</v>
      </c>
      <c r="B179" s="49"/>
      <c r="C179" s="49"/>
      <c r="D179" s="49"/>
      <c r="E179" s="49"/>
      <c r="F179" s="18"/>
      <c r="G179" s="30"/>
      <c r="H179" s="34">
        <f t="shared" si="79"/>
        <v>15</v>
      </c>
      <c r="J179" s="17" t="str">
        <f t="shared" ref="J179" si="86">+J142</f>
        <v>davek_a</v>
      </c>
      <c r="K179" s="18"/>
      <c r="L179" s="43"/>
      <c r="M179" s="214"/>
      <c r="N179" s="43"/>
      <c r="O179" s="221">
        <v>29.537453953199432</v>
      </c>
      <c r="P179" s="43"/>
      <c r="Q179" s="221">
        <v>28.250340283532552</v>
      </c>
      <c r="R179" s="221">
        <v>29.471392841643684</v>
      </c>
      <c r="S179" s="221">
        <v>29.537453953199432</v>
      </c>
      <c r="T179" s="221">
        <v>29.603555109536853</v>
      </c>
      <c r="U179" s="221">
        <v>29.669656265874259</v>
      </c>
      <c r="V179" s="221">
        <v>33.10523862008462</v>
      </c>
      <c r="W179" s="222"/>
      <c r="X179" s="147">
        <f t="shared" si="82"/>
        <v>95.64243529010237</v>
      </c>
      <c r="Y179" s="147">
        <f t="shared" si="80"/>
        <v>99.776347982935775</v>
      </c>
      <c r="Z179" s="147">
        <f t="shared" si="80"/>
        <v>100</v>
      </c>
      <c r="AA179" s="147">
        <f t="shared" si="80"/>
        <v>100.22378758996004</v>
      </c>
      <c r="AB179" s="147">
        <f t="shared" si="80"/>
        <v>100.44757517992002</v>
      </c>
      <c r="AD179" s="166"/>
      <c r="AE179" s="166"/>
      <c r="AF179" s="166"/>
      <c r="AG179" s="166"/>
      <c r="AH179" s="166"/>
      <c r="AI179" s="166"/>
      <c r="AJ179" s="166"/>
      <c r="AK179" s="166"/>
      <c r="AL179" s="166"/>
      <c r="AM179" s="166"/>
      <c r="AN179" s="166"/>
      <c r="AO179" s="166"/>
    </row>
    <row r="180" spans="1:41" s="38" customFormat="1" ht="11.25" customHeight="1">
      <c r="A180" s="18" t="s">
        <v>92</v>
      </c>
      <c r="B180" s="49"/>
      <c r="C180" s="49"/>
      <c r="D180" s="49"/>
      <c r="E180" s="49"/>
      <c r="F180" s="18"/>
      <c r="G180" s="18"/>
      <c r="H180" s="34">
        <f t="shared" si="79"/>
        <v>16</v>
      </c>
      <c r="J180" s="17" t="str">
        <f t="shared" ref="J180:J185" si="87">+A180</f>
        <v>Pokoj obvezno</v>
      </c>
      <c r="K180" s="18"/>
      <c r="L180" s="43"/>
      <c r="M180" s="214"/>
      <c r="N180" s="43"/>
      <c r="O180" s="35">
        <v>27.66938972819305</v>
      </c>
      <c r="P180" s="43"/>
      <c r="Q180" s="35">
        <v>29.46544606309827</v>
      </c>
      <c r="R180" s="35">
        <v>27.761212744434289</v>
      </c>
      <c r="S180" s="35">
        <v>27.66938972819305</v>
      </c>
      <c r="T180" s="35">
        <v>27.577447400169884</v>
      </c>
      <c r="U180" s="35">
        <v>27.485505072146715</v>
      </c>
      <c r="V180" s="35">
        <v>22.732422069143549</v>
      </c>
      <c r="W180" s="32"/>
      <c r="X180" s="147">
        <f t="shared" si="82"/>
        <v>106.49113100270213</v>
      </c>
      <c r="Y180" s="147">
        <f t="shared" si="80"/>
        <v>100.3318577574108</v>
      </c>
      <c r="Z180" s="147">
        <f t="shared" si="80"/>
        <v>100</v>
      </c>
      <c r="AA180" s="147">
        <f t="shared" si="80"/>
        <v>99.667711037625523</v>
      </c>
      <c r="AB180" s="147">
        <f t="shared" si="80"/>
        <v>99.335422075251017</v>
      </c>
      <c r="AD180" s="166"/>
      <c r="AE180" s="166"/>
      <c r="AF180" s="166"/>
      <c r="AG180" s="166"/>
      <c r="AH180" s="166"/>
      <c r="AI180" s="166"/>
      <c r="AJ180" s="166"/>
      <c r="AK180" s="166"/>
      <c r="AL180" s="166"/>
      <c r="AM180" s="166"/>
      <c r="AN180" s="166"/>
      <c r="AO180" s="166"/>
    </row>
    <row r="181" spans="1:41" s="44" customFormat="1" ht="11.25" customHeight="1">
      <c r="A181" s="18" t="s">
        <v>91</v>
      </c>
      <c r="B181" s="49"/>
      <c r="C181" s="49"/>
      <c r="D181" s="49"/>
      <c r="E181" s="49"/>
      <c r="F181" s="18"/>
      <c r="G181" s="18"/>
      <c r="H181" s="34">
        <f t="shared" si="79"/>
        <v>17</v>
      </c>
      <c r="I181" s="38"/>
      <c r="J181" s="17" t="str">
        <f t="shared" si="87"/>
        <v>Zdrav obvezno</v>
      </c>
      <c r="K181" s="18"/>
      <c r="L181" s="42"/>
      <c r="M181" s="219"/>
      <c r="N181" s="42"/>
      <c r="O181" s="35">
        <v>16.226758234146761</v>
      </c>
      <c r="P181" s="42"/>
      <c r="Q181" s="35">
        <v>17.280058368616977</v>
      </c>
      <c r="R181" s="35">
        <v>16.280607990123073</v>
      </c>
      <c r="S181" s="35">
        <v>16.226758234146761</v>
      </c>
      <c r="T181" s="35">
        <v>16.172838507583496</v>
      </c>
      <c r="U181" s="35">
        <v>16.118918781020231</v>
      </c>
      <c r="V181" s="35">
        <v>13.331465587646116</v>
      </c>
      <c r="W181" s="32"/>
      <c r="X181" s="147">
        <f t="shared" si="82"/>
        <v>106.4911310027021</v>
      </c>
      <c r="Y181" s="147">
        <f t="shared" si="80"/>
        <v>100.3318577574108</v>
      </c>
      <c r="Z181" s="147">
        <f t="shared" si="80"/>
        <v>100</v>
      </c>
      <c r="AA181" s="147">
        <f t="shared" si="80"/>
        <v>99.667711037625494</v>
      </c>
      <c r="AB181" s="147">
        <f t="shared" si="80"/>
        <v>99.335422075251003</v>
      </c>
      <c r="AD181" s="166"/>
      <c r="AE181" s="166"/>
      <c r="AF181" s="166"/>
      <c r="AG181" s="166"/>
      <c r="AH181" s="166"/>
      <c r="AI181" s="166"/>
      <c r="AJ181" s="166"/>
      <c r="AK181" s="166"/>
      <c r="AL181" s="166"/>
      <c r="AM181" s="166"/>
      <c r="AN181" s="166"/>
      <c r="AO181" s="166"/>
    </row>
    <row r="182" spans="1:41" s="38" customFormat="1" ht="11.25" customHeight="1">
      <c r="A182" s="18" t="s">
        <v>90</v>
      </c>
      <c r="B182" s="49"/>
      <c r="C182" s="49"/>
      <c r="D182" s="49"/>
      <c r="E182" s="49"/>
      <c r="F182" s="18"/>
      <c r="G182" s="18"/>
      <c r="H182" s="34">
        <f t="shared" si="79"/>
        <v>18</v>
      </c>
      <c r="J182" s="17" t="str">
        <f t="shared" si="87"/>
        <v>Pokoj dodatno</v>
      </c>
      <c r="K182" s="18"/>
      <c r="L182" s="43"/>
      <c r="M182" s="214"/>
      <c r="N182" s="43"/>
      <c r="O182" s="35">
        <v>22.090633851667686</v>
      </c>
      <c r="P182" s="43"/>
      <c r="Q182" s="35">
        <v>23.524565834306706</v>
      </c>
      <c r="R182" s="35">
        <v>22.163943333765669</v>
      </c>
      <c r="S182" s="35">
        <v>22.090633851667686</v>
      </c>
      <c r="T182" s="35">
        <v>22.017229113660033</v>
      </c>
      <c r="U182" s="35">
        <v>21.943824375652376</v>
      </c>
      <c r="V182" s="35">
        <v>18.149067161367231</v>
      </c>
      <c r="W182" s="201"/>
      <c r="X182" s="147">
        <f t="shared" si="82"/>
        <v>106.49113100270216</v>
      </c>
      <c r="Y182" s="147">
        <f t="shared" si="80"/>
        <v>100.33185775741083</v>
      </c>
      <c r="Z182" s="147">
        <f t="shared" si="80"/>
        <v>100</v>
      </c>
      <c r="AA182" s="147">
        <f t="shared" si="80"/>
        <v>99.667711037625523</v>
      </c>
      <c r="AB182" s="147">
        <f t="shared" si="80"/>
        <v>99.335422075251017</v>
      </c>
      <c r="AD182" s="166"/>
      <c r="AE182" s="166"/>
      <c r="AF182" s="166"/>
      <c r="AG182" s="166"/>
      <c r="AH182" s="166"/>
      <c r="AI182" s="166"/>
      <c r="AJ182" s="166"/>
      <c r="AK182" s="166"/>
      <c r="AL182" s="166"/>
      <c r="AM182" s="166"/>
      <c r="AN182" s="166"/>
      <c r="AO182" s="166"/>
    </row>
    <row r="183" spans="1:41" s="44" customFormat="1" ht="11.25" customHeight="1">
      <c r="A183" s="18" t="s">
        <v>89</v>
      </c>
      <c r="B183" s="49"/>
      <c r="C183" s="49"/>
      <c r="D183" s="49"/>
      <c r="E183" s="49"/>
      <c r="F183" s="18"/>
      <c r="G183" s="18"/>
      <c r="H183" s="34">
        <f t="shared" si="79"/>
        <v>19</v>
      </c>
      <c r="I183" s="38"/>
      <c r="J183" s="17" t="str">
        <f t="shared" si="87"/>
        <v>Zdrav dodatno</v>
      </c>
      <c r="K183" s="18"/>
      <c r="L183" s="42"/>
      <c r="M183" s="219"/>
      <c r="N183" s="42"/>
      <c r="O183" s="35">
        <v>12.955087852365113</v>
      </c>
      <c r="P183" s="42"/>
      <c r="Q183" s="35">
        <v>13.796019576377283</v>
      </c>
      <c r="R183" s="35">
        <v>12.99808031638257</v>
      </c>
      <c r="S183" s="35">
        <v>12.955087852365113</v>
      </c>
      <c r="T183" s="35">
        <v>12.912039525365785</v>
      </c>
      <c r="U183" s="35">
        <v>12.868991198366455</v>
      </c>
      <c r="V183" s="35">
        <v>10.643549709472774</v>
      </c>
      <c r="W183" s="32"/>
      <c r="X183" s="147">
        <f t="shared" si="82"/>
        <v>106.49113100270213</v>
      </c>
      <c r="Y183" s="147">
        <f t="shared" si="80"/>
        <v>100.3318577574108</v>
      </c>
      <c r="Z183" s="147">
        <f t="shared" si="80"/>
        <v>100</v>
      </c>
      <c r="AA183" s="147">
        <f t="shared" si="80"/>
        <v>99.667711037625509</v>
      </c>
      <c r="AB183" s="147">
        <f t="shared" si="80"/>
        <v>99.335422075251003</v>
      </c>
      <c r="AD183" s="166"/>
      <c r="AE183" s="166"/>
      <c r="AF183" s="166"/>
      <c r="AG183" s="166"/>
      <c r="AH183" s="166"/>
      <c r="AI183" s="166"/>
      <c r="AJ183" s="166"/>
      <c r="AK183" s="166"/>
      <c r="AL183" s="166"/>
      <c r="AM183" s="166"/>
      <c r="AN183" s="166"/>
      <c r="AO183" s="166"/>
    </row>
    <row r="184" spans="1:41" s="38" customFormat="1" ht="11.25" customHeight="1">
      <c r="A184" s="18" t="s">
        <v>88</v>
      </c>
      <c r="B184" s="49"/>
      <c r="C184" s="49"/>
      <c r="D184" s="49"/>
      <c r="E184" s="49"/>
      <c r="F184" s="18"/>
      <c r="G184" s="18"/>
      <c r="H184" s="34">
        <f t="shared" si="79"/>
        <v>20</v>
      </c>
      <c r="J184" s="17" t="str">
        <f t="shared" si="87"/>
        <v>Regresi</v>
      </c>
      <c r="K184" s="18"/>
      <c r="L184" s="43"/>
      <c r="M184" s="214"/>
      <c r="N184" s="43"/>
      <c r="O184" s="35">
        <v>66.393452651578599</v>
      </c>
      <c r="P184" s="43"/>
      <c r="Q184" s="35">
        <v>70.703138640409591</v>
      </c>
      <c r="R184" s="35">
        <v>66.613784474615727</v>
      </c>
      <c r="S184" s="35">
        <v>66.393452651578599</v>
      </c>
      <c r="T184" s="35">
        <v>66.172834536678067</v>
      </c>
      <c r="U184" s="35">
        <v>65.952216421777536</v>
      </c>
      <c r="V184" s="35">
        <v>54.547064576763482</v>
      </c>
      <c r="W184" s="201"/>
      <c r="X184" s="147">
        <f t="shared" si="82"/>
        <v>106.49113100270216</v>
      </c>
      <c r="Y184" s="147">
        <f t="shared" si="80"/>
        <v>100.3318577574108</v>
      </c>
      <c r="Z184" s="147">
        <f t="shared" si="80"/>
        <v>100</v>
      </c>
      <c r="AA184" s="147">
        <f t="shared" si="80"/>
        <v>99.667711037625509</v>
      </c>
      <c r="AB184" s="147">
        <f t="shared" si="80"/>
        <v>99.335422075251017</v>
      </c>
      <c r="AD184" s="166"/>
      <c r="AE184" s="166"/>
      <c r="AF184" s="166"/>
      <c r="AG184" s="166"/>
      <c r="AH184" s="166"/>
      <c r="AI184" s="166"/>
      <c r="AJ184" s="166"/>
      <c r="AK184" s="166"/>
      <c r="AL184" s="166"/>
      <c r="AM184" s="166"/>
      <c r="AN184" s="166"/>
      <c r="AO184" s="166"/>
    </row>
    <row r="185" spans="1:41" s="38" customFormat="1" ht="11.25" customHeight="1">
      <c r="A185" s="49" t="s">
        <v>13</v>
      </c>
      <c r="B185" s="49"/>
      <c r="C185" s="49"/>
      <c r="D185" s="49"/>
      <c r="E185" s="49"/>
      <c r="F185" s="18"/>
      <c r="G185" s="18"/>
      <c r="H185" s="34">
        <f t="shared" si="79"/>
        <v>21</v>
      </c>
      <c r="J185" s="17" t="str">
        <f t="shared" si="87"/>
        <v>SUM element</v>
      </c>
      <c r="K185" s="18"/>
      <c r="L185" s="62"/>
      <c r="M185" s="167"/>
      <c r="N185" s="62"/>
      <c r="O185" s="159">
        <v>2474.0679625382018</v>
      </c>
      <c r="P185" s="170"/>
      <c r="Q185" s="159">
        <v>2764.2865382087798</v>
      </c>
      <c r="R185" s="159">
        <v>2598.9796195425693</v>
      </c>
      <c r="S185" s="159">
        <v>2474.0679625382018</v>
      </c>
      <c r="T185" s="159">
        <v>2348.5145506898834</v>
      </c>
      <c r="U185" s="159">
        <v>2193.5434666223859</v>
      </c>
      <c r="V185" s="159">
        <v>2356.3468827808547</v>
      </c>
      <c r="W185" s="201"/>
      <c r="X185" s="147">
        <f t="shared" si="82"/>
        <v>111.73042050845024</v>
      </c>
      <c r="Y185" s="147">
        <f t="shared" si="80"/>
        <v>105.04883693155374</v>
      </c>
      <c r="Z185" s="147">
        <f t="shared" si="80"/>
        <v>100</v>
      </c>
      <c r="AA185" s="147">
        <f t="shared" si="80"/>
        <v>94.92522381157589</v>
      </c>
      <c r="AB185" s="147">
        <f t="shared" si="80"/>
        <v>88.661407036368573</v>
      </c>
      <c r="AD185" s="166"/>
      <c r="AE185" s="166"/>
      <c r="AF185" s="166"/>
      <c r="AG185" s="166"/>
      <c r="AH185" s="166"/>
      <c r="AI185" s="166"/>
      <c r="AJ185" s="166"/>
      <c r="AK185" s="166"/>
      <c r="AL185" s="166"/>
      <c r="AM185" s="166"/>
      <c r="AN185" s="166"/>
      <c r="AO185" s="166"/>
    </row>
    <row r="186" spans="1:41" s="38" customFormat="1" ht="11.25" customHeight="1">
      <c r="A186" s="49" t="s">
        <v>3</v>
      </c>
      <c r="B186" s="49" t="s">
        <v>0</v>
      </c>
      <c r="C186" s="49" t="s">
        <v>2</v>
      </c>
      <c r="D186" s="49" t="s">
        <v>1</v>
      </c>
      <c r="E186" s="49" t="s">
        <v>0</v>
      </c>
      <c r="F186" s="18"/>
      <c r="G186" s="18"/>
      <c r="H186" s="34">
        <f t="shared" si="79"/>
        <v>22</v>
      </c>
      <c r="J186" s="106" t="str">
        <f t="shared" ref="J186" si="88">+J149</f>
        <v>Subvencije</v>
      </c>
      <c r="K186" s="18"/>
      <c r="L186" s="62"/>
      <c r="M186" s="167"/>
      <c r="N186" s="62"/>
      <c r="O186" s="159">
        <v>23.94</v>
      </c>
      <c r="P186" s="43"/>
      <c r="Q186" s="159">
        <v>23.94</v>
      </c>
      <c r="R186" s="159">
        <v>23.94</v>
      </c>
      <c r="S186" s="159">
        <v>23.94</v>
      </c>
      <c r="T186" s="159">
        <v>23.94</v>
      </c>
      <c r="U186" s="159">
        <v>23.94</v>
      </c>
      <c r="V186" s="159">
        <v>23.94</v>
      </c>
      <c r="W186" s="201"/>
      <c r="X186" s="147">
        <f t="shared" si="82"/>
        <v>100</v>
      </c>
      <c r="Y186" s="147">
        <f t="shared" si="80"/>
        <v>100</v>
      </c>
      <c r="Z186" s="147">
        <f t="shared" si="80"/>
        <v>100</v>
      </c>
      <c r="AA186" s="147">
        <f t="shared" si="80"/>
        <v>100</v>
      </c>
      <c r="AB186" s="147">
        <f t="shared" si="80"/>
        <v>100</v>
      </c>
      <c r="AD186" s="166"/>
      <c r="AE186" s="166"/>
      <c r="AF186" s="166"/>
      <c r="AG186" s="166"/>
      <c r="AH186" s="166"/>
      <c r="AI186" s="166"/>
      <c r="AJ186" s="166"/>
      <c r="AK186" s="166"/>
      <c r="AL186" s="166"/>
      <c r="AM186" s="166"/>
      <c r="AN186" s="166"/>
      <c r="AO186" s="166"/>
    </row>
    <row r="187" spans="1:41" s="38" customFormat="1" ht="11.25" customHeight="1">
      <c r="A187" s="112" t="s">
        <v>14</v>
      </c>
      <c r="B187" s="49"/>
      <c r="C187" s="49"/>
      <c r="D187" s="49"/>
      <c r="E187" s="49"/>
      <c r="F187" s="18"/>
      <c r="G187" s="18"/>
      <c r="H187" s="34">
        <f t="shared" si="79"/>
        <v>23</v>
      </c>
      <c r="J187" s="198" t="str">
        <f>+J150</f>
        <v>Vrednost pridelave_tržna</v>
      </c>
      <c r="K187" s="18"/>
      <c r="L187" s="62"/>
      <c r="M187" s="167"/>
      <c r="N187" s="62"/>
      <c r="O187" s="209">
        <v>2300</v>
      </c>
      <c r="P187" s="210"/>
      <c r="Q187" s="209">
        <v>2760</v>
      </c>
      <c r="R187" s="209">
        <v>2530</v>
      </c>
      <c r="S187" s="209">
        <v>2300</v>
      </c>
      <c r="T187" s="209">
        <v>2070</v>
      </c>
      <c r="U187" s="209">
        <v>1840</v>
      </c>
      <c r="V187" s="209">
        <v>2300</v>
      </c>
      <c r="W187" s="201"/>
      <c r="X187" s="147">
        <f t="shared" si="82"/>
        <v>120</v>
      </c>
      <c r="Y187" s="147">
        <f t="shared" ref="Y187:Y188" si="89">R187/$S187*100</f>
        <v>110.00000000000001</v>
      </c>
      <c r="Z187" s="147">
        <f t="shared" ref="Z187:Z188" si="90">S187/$S187*100</f>
        <v>100</v>
      </c>
      <c r="AA187" s="147">
        <f t="shared" ref="AA187:AB188" si="91">T187/$S187*100</f>
        <v>90</v>
      </c>
      <c r="AB187" s="147">
        <f t="shared" si="91"/>
        <v>80</v>
      </c>
      <c r="AD187" s="166"/>
      <c r="AE187" s="166"/>
      <c r="AF187" s="166"/>
      <c r="AG187" s="166"/>
      <c r="AH187" s="166"/>
      <c r="AI187" s="166"/>
      <c r="AJ187" s="166"/>
      <c r="AK187" s="166"/>
      <c r="AL187" s="166"/>
      <c r="AM187" s="166"/>
      <c r="AN187" s="166"/>
      <c r="AO187" s="166"/>
    </row>
    <row r="188" spans="1:41" s="45" customFormat="1" ht="11.25" customHeight="1">
      <c r="A188" s="49"/>
      <c r="B188" s="49"/>
      <c r="C188" s="49"/>
      <c r="D188" s="49"/>
      <c r="E188" s="49"/>
      <c r="F188" s="18"/>
      <c r="G188" s="51"/>
      <c r="H188" s="34">
        <f t="shared" si="79"/>
        <v>24</v>
      </c>
      <c r="I188" s="38"/>
      <c r="J188" s="21"/>
      <c r="K188" s="46"/>
      <c r="L188" s="185"/>
      <c r="M188" s="186"/>
      <c r="N188" s="179"/>
      <c r="O188" s="187">
        <f>+O173-O186-O174</f>
        <v>2450.1279625382022</v>
      </c>
      <c r="P188" s="62" t="s">
        <v>87</v>
      </c>
      <c r="Q188" s="187">
        <f>+Q173-Q186-Q174</f>
        <v>2740.3465382087793</v>
      </c>
      <c r="R188" s="187">
        <f t="shared" ref="R188:V188" si="92">+R173-R186-R174</f>
        <v>2575.0396195425687</v>
      </c>
      <c r="S188" s="187">
        <f t="shared" si="92"/>
        <v>2450.1279625382022</v>
      </c>
      <c r="T188" s="187">
        <f t="shared" si="92"/>
        <v>2324.5745506898829</v>
      </c>
      <c r="U188" s="187">
        <f t="shared" si="92"/>
        <v>2169.6034666223859</v>
      </c>
      <c r="V188" s="187">
        <f t="shared" si="92"/>
        <v>2332.4068827808551</v>
      </c>
      <c r="W188" s="201"/>
      <c r="X188" s="147">
        <f>Q188/$S188*100</f>
        <v>111.84503748816148</v>
      </c>
      <c r="Y188" s="147">
        <f t="shared" si="89"/>
        <v>105.09816870442002</v>
      </c>
      <c r="Z188" s="147">
        <f t="shared" si="90"/>
        <v>100</v>
      </c>
      <c r="AA188" s="147">
        <f t="shared" si="91"/>
        <v>94.875638588351421</v>
      </c>
      <c r="AB188" s="147">
        <f t="shared" si="91"/>
        <v>88.550618571561955</v>
      </c>
      <c r="AD188" s="166"/>
      <c r="AE188" s="166"/>
      <c r="AF188" s="166"/>
      <c r="AG188" s="166"/>
      <c r="AH188" s="166"/>
      <c r="AI188" s="166"/>
      <c r="AJ188" s="166"/>
      <c r="AK188" s="166"/>
      <c r="AL188" s="166"/>
      <c r="AM188" s="166"/>
      <c r="AN188" s="166"/>
      <c r="AO188" s="166"/>
    </row>
    <row r="189" spans="1:41" s="45" customFormat="1" ht="11.25" customHeight="1">
      <c r="A189" s="49"/>
      <c r="B189" s="49"/>
      <c r="C189" s="49"/>
      <c r="D189" s="49"/>
      <c r="E189" s="49"/>
      <c r="F189" s="18"/>
      <c r="G189" s="46"/>
      <c r="H189" s="34">
        <f t="shared" si="79"/>
        <v>25</v>
      </c>
      <c r="I189" s="38"/>
      <c r="J189" s="21"/>
      <c r="K189" s="46"/>
      <c r="L189" s="185"/>
      <c r="M189" s="186"/>
      <c r="N189" s="179"/>
      <c r="O189" s="187">
        <f>O188-O180-O181</f>
        <v>2406.2318145758622</v>
      </c>
      <c r="P189" s="62" t="s">
        <v>86</v>
      </c>
      <c r="Q189" s="187">
        <f>Q188-Q180-Q181</f>
        <v>2693.601033777064</v>
      </c>
      <c r="R189" s="187">
        <f t="shared" ref="R189:V189" si="93">R188-R180-R181</f>
        <v>2530.9977988080113</v>
      </c>
      <c r="S189" s="187">
        <f t="shared" si="93"/>
        <v>2406.2318145758622</v>
      </c>
      <c r="T189" s="187">
        <f t="shared" si="93"/>
        <v>2280.8242647821294</v>
      </c>
      <c r="U189" s="187">
        <f t="shared" si="93"/>
        <v>2125.9990427692192</v>
      </c>
      <c r="V189" s="187">
        <f t="shared" si="93"/>
        <v>2296.3429951240655</v>
      </c>
      <c r="W189" s="211"/>
      <c r="X189" s="179"/>
      <c r="Y189" s="179"/>
      <c r="Z189" s="179"/>
      <c r="AA189" s="179"/>
      <c r="AB189" s="179"/>
      <c r="AD189" s="166"/>
      <c r="AE189" s="166"/>
      <c r="AF189" s="166"/>
      <c r="AG189" s="166"/>
      <c r="AH189" s="166"/>
      <c r="AI189" s="166"/>
      <c r="AJ189" s="166"/>
      <c r="AK189" s="166"/>
      <c r="AL189" s="166"/>
      <c r="AM189" s="166"/>
      <c r="AN189" s="166"/>
      <c r="AO189" s="166"/>
    </row>
    <row r="190" spans="1:41" s="44" customFormat="1" ht="11.25" customHeight="1">
      <c r="A190" s="49"/>
      <c r="B190" s="49"/>
      <c r="C190" s="49"/>
      <c r="D190" s="49"/>
      <c r="E190" s="49"/>
      <c r="F190" s="18"/>
      <c r="G190" s="17"/>
      <c r="H190" s="34">
        <f t="shared" si="79"/>
        <v>26</v>
      </c>
      <c r="I190" s="38"/>
      <c r="J190" s="17"/>
      <c r="K190" s="18"/>
      <c r="L190" s="164"/>
      <c r="M190" s="165"/>
      <c r="N190" s="179"/>
      <c r="O190" s="187">
        <f>O189-O182-O183-O184</f>
        <v>2304.7926402202511</v>
      </c>
      <c r="P190" s="62" t="s">
        <v>85</v>
      </c>
      <c r="Q190" s="187">
        <f>Q189-Q182-Q183-Q184</f>
        <v>2585.5773097259707</v>
      </c>
      <c r="R190" s="187">
        <f t="shared" ref="R190:V190" si="94">R189-R182-R183-R184</f>
        <v>2429.2219906832474</v>
      </c>
      <c r="S190" s="187">
        <f t="shared" si="94"/>
        <v>2304.7926402202511</v>
      </c>
      <c r="T190" s="187">
        <f t="shared" si="94"/>
        <v>2179.7221616064253</v>
      </c>
      <c r="U190" s="187">
        <f t="shared" si="94"/>
        <v>2025.2340107734228</v>
      </c>
      <c r="V190" s="187">
        <f t="shared" si="94"/>
        <v>2213.0033136764619</v>
      </c>
      <c r="W190" s="211"/>
      <c r="X190" s="179"/>
      <c r="Y190" s="179"/>
      <c r="Z190" s="179"/>
      <c r="AA190" s="179"/>
      <c r="AB190" s="179"/>
      <c r="AD190" s="166"/>
      <c r="AE190" s="166"/>
      <c r="AF190" s="166"/>
      <c r="AG190" s="166"/>
      <c r="AH190" s="166"/>
      <c r="AI190" s="166"/>
      <c r="AJ190" s="166"/>
      <c r="AK190" s="166"/>
      <c r="AL190" s="166"/>
      <c r="AM190" s="166"/>
      <c r="AN190" s="166"/>
      <c r="AO190" s="166"/>
    </row>
    <row r="191" spans="1:41" s="38" customFormat="1" ht="11.25" customHeight="1">
      <c r="A191" s="49"/>
      <c r="B191" s="49"/>
      <c r="C191" s="49"/>
      <c r="D191" s="49"/>
      <c r="E191" s="49"/>
      <c r="F191" s="18"/>
      <c r="G191" s="18"/>
      <c r="H191" s="34">
        <f t="shared" si="79"/>
        <v>27</v>
      </c>
      <c r="J191" s="18"/>
      <c r="K191" s="18"/>
      <c r="L191" s="62"/>
      <c r="M191" s="167"/>
      <c r="N191" s="62"/>
      <c r="O191" s="189"/>
      <c r="P191" s="184"/>
      <c r="Q191" s="189"/>
      <c r="R191" s="189"/>
      <c r="S191" s="189"/>
      <c r="T191" s="189"/>
      <c r="U191" s="189"/>
      <c r="V191" s="189"/>
      <c r="W191" s="211"/>
      <c r="X191" s="164"/>
      <c r="Y191" s="164"/>
      <c r="Z191" s="164"/>
      <c r="AA191" s="164"/>
      <c r="AB191" s="164"/>
      <c r="AD191" s="166"/>
      <c r="AE191" s="166"/>
      <c r="AF191" s="166"/>
      <c r="AG191" s="166"/>
      <c r="AH191" s="166"/>
      <c r="AI191" s="166"/>
      <c r="AJ191" s="166"/>
      <c r="AK191" s="166"/>
      <c r="AL191" s="166"/>
      <c r="AM191" s="166"/>
      <c r="AN191" s="166"/>
      <c r="AO191" s="166"/>
    </row>
    <row r="192" spans="1:41" s="38" customFormat="1" ht="11.25" customHeight="1">
      <c r="A192" s="49"/>
      <c r="B192" s="49"/>
      <c r="C192" s="49"/>
      <c r="D192" s="49"/>
      <c r="E192" s="49"/>
      <c r="F192" s="18"/>
      <c r="G192" s="18"/>
      <c r="H192" s="34">
        <f t="shared" si="79"/>
        <v>28</v>
      </c>
      <c r="J192" s="17"/>
      <c r="K192" s="18"/>
      <c r="L192" s="62"/>
      <c r="M192" s="167"/>
      <c r="N192" s="62"/>
      <c r="O192" s="192" t="str">
        <f>+O169&amp;";"&amp;O171</f>
        <v>10000;1</v>
      </c>
      <c r="P192" s="212"/>
      <c r="Q192" s="192" t="str">
        <f>+Q169&amp;";"&amp;Q171</f>
        <v>12000;1</v>
      </c>
      <c r="R192" s="192" t="str">
        <f t="shared" ref="R192:V192" si="95">+R169&amp;";"&amp;R171</f>
        <v>11000;1</v>
      </c>
      <c r="S192" s="192" t="str">
        <f t="shared" si="95"/>
        <v>10000;1</v>
      </c>
      <c r="T192" s="192" t="str">
        <f t="shared" si="95"/>
        <v>9000;1</v>
      </c>
      <c r="U192" s="192" t="str">
        <f t="shared" si="95"/>
        <v>8000;1</v>
      </c>
      <c r="V192" s="192" t="str">
        <f t="shared" si="95"/>
        <v>10000;5</v>
      </c>
      <c r="W192" s="32"/>
      <c r="X192" s="62"/>
      <c r="Y192" s="62"/>
      <c r="Z192" s="62"/>
      <c r="AA192" s="62"/>
      <c r="AB192" s="62"/>
      <c r="AD192" s="166"/>
      <c r="AE192" s="166"/>
      <c r="AF192" s="166"/>
      <c r="AG192" s="166"/>
      <c r="AH192" s="166"/>
      <c r="AI192" s="166"/>
      <c r="AJ192" s="166"/>
      <c r="AK192" s="166"/>
      <c r="AL192" s="166"/>
      <c r="AM192" s="166"/>
      <c r="AN192" s="166"/>
      <c r="AO192" s="166"/>
    </row>
    <row r="193" spans="1:41" s="38" customFormat="1" ht="11.25" customHeight="1">
      <c r="A193" s="49"/>
      <c r="B193" s="49"/>
      <c r="C193" s="49"/>
      <c r="D193" s="49"/>
      <c r="E193" s="49"/>
      <c r="F193" s="18"/>
      <c r="G193" s="18"/>
      <c r="H193" s="34">
        <f t="shared" si="79"/>
        <v>29</v>
      </c>
      <c r="J193" s="18"/>
      <c r="K193" s="18"/>
      <c r="L193" s="62"/>
      <c r="M193" s="167"/>
      <c r="N193" s="62"/>
      <c r="O193" s="194">
        <f>+O188/O169*1000</f>
        <v>245.01279625382023</v>
      </c>
      <c r="P193" s="180" t="s">
        <v>84</v>
      </c>
      <c r="Q193" s="194">
        <f>+Q188/Q169*1000</f>
        <v>228.36221151739826</v>
      </c>
      <c r="R193" s="194">
        <f t="shared" ref="R193:V193" si="96">+R188/R169*1000</f>
        <v>234.09451086750624</v>
      </c>
      <c r="S193" s="194">
        <f t="shared" si="96"/>
        <v>245.01279625382023</v>
      </c>
      <c r="T193" s="194">
        <f t="shared" si="96"/>
        <v>258.28606118776474</v>
      </c>
      <c r="U193" s="194">
        <f t="shared" si="96"/>
        <v>271.20043332779824</v>
      </c>
      <c r="V193" s="194">
        <f t="shared" si="96"/>
        <v>233.24068827808551</v>
      </c>
      <c r="W193" s="32"/>
      <c r="X193" s="62"/>
      <c r="Y193" s="62"/>
      <c r="Z193" s="62"/>
      <c r="AA193" s="62"/>
      <c r="AB193" s="62"/>
      <c r="AD193" s="166"/>
      <c r="AE193" s="166"/>
      <c r="AF193" s="166"/>
      <c r="AG193" s="166"/>
      <c r="AH193" s="166"/>
      <c r="AI193" s="166"/>
      <c r="AJ193" s="166"/>
      <c r="AK193" s="166"/>
      <c r="AL193" s="166"/>
      <c r="AM193" s="166"/>
      <c r="AN193" s="166"/>
      <c r="AO193" s="166"/>
    </row>
    <row r="194" spans="1:41" s="38" customFormat="1" ht="11.25" customHeight="1">
      <c r="A194" s="49"/>
      <c r="B194" s="49"/>
      <c r="C194" s="49"/>
      <c r="D194" s="49"/>
      <c r="E194" s="49"/>
      <c r="F194" s="18"/>
      <c r="G194" s="18"/>
      <c r="H194" s="34">
        <f t="shared" si="79"/>
        <v>30</v>
      </c>
      <c r="J194" s="18"/>
      <c r="K194" s="18"/>
      <c r="L194" s="62"/>
      <c r="M194" s="167"/>
      <c r="N194" s="62"/>
      <c r="O194" s="194">
        <f>+O193*O189/O188</f>
        <v>240.62318145758621</v>
      </c>
      <c r="P194" s="180" t="s">
        <v>83</v>
      </c>
      <c r="Q194" s="194">
        <f>+Q193*Q189/Q188</f>
        <v>224.46675281475532</v>
      </c>
      <c r="R194" s="194">
        <f t="shared" ref="R194:V194" si="97">+R193*R189/R188</f>
        <v>230.09070898254649</v>
      </c>
      <c r="S194" s="194">
        <f t="shared" si="97"/>
        <v>240.62318145758621</v>
      </c>
      <c r="T194" s="194">
        <f t="shared" si="97"/>
        <v>253.42491830912547</v>
      </c>
      <c r="U194" s="194">
        <f t="shared" si="97"/>
        <v>265.74988034615239</v>
      </c>
      <c r="V194" s="194">
        <f t="shared" si="97"/>
        <v>229.63429951240659</v>
      </c>
      <c r="W194" s="32"/>
      <c r="X194" s="62"/>
      <c r="Y194" s="62"/>
      <c r="Z194" s="62"/>
      <c r="AA194" s="62"/>
      <c r="AB194" s="62"/>
      <c r="AD194" s="166"/>
      <c r="AE194" s="166"/>
      <c r="AF194" s="166"/>
      <c r="AG194" s="166"/>
      <c r="AH194" s="166"/>
      <c r="AI194" s="166"/>
      <c r="AJ194" s="166"/>
      <c r="AK194" s="166"/>
      <c r="AL194" s="166"/>
      <c r="AM194" s="166"/>
      <c r="AN194" s="166"/>
      <c r="AO194" s="166"/>
    </row>
    <row r="195" spans="1:41" s="38" customFormat="1" ht="11.25" customHeight="1">
      <c r="A195" s="49"/>
      <c r="B195" s="49"/>
      <c r="C195" s="49"/>
      <c r="D195" s="49"/>
      <c r="E195" s="49"/>
      <c r="F195" s="18"/>
      <c r="G195" s="18"/>
      <c r="H195" s="34">
        <f t="shared" si="79"/>
        <v>31</v>
      </c>
      <c r="J195" s="18"/>
      <c r="K195" s="18"/>
      <c r="L195" s="62"/>
      <c r="M195" s="167"/>
      <c r="N195" s="62"/>
      <c r="O195" s="194">
        <f>+O193*O190/O188</f>
        <v>230.47926402202509</v>
      </c>
      <c r="P195" s="180" t="s">
        <v>82</v>
      </c>
      <c r="Q195" s="194">
        <f>+Q193*Q190/Q188</f>
        <v>215.46477581049754</v>
      </c>
      <c r="R195" s="194">
        <f t="shared" ref="R195:V195" si="98">+R193*R190/R188</f>
        <v>220.83836278938614</v>
      </c>
      <c r="S195" s="194">
        <f t="shared" si="98"/>
        <v>230.47926402202509</v>
      </c>
      <c r="T195" s="194">
        <f t="shared" si="98"/>
        <v>242.19135128960281</v>
      </c>
      <c r="U195" s="194">
        <f t="shared" si="98"/>
        <v>253.15425134667785</v>
      </c>
      <c r="V195" s="194">
        <f t="shared" si="98"/>
        <v>221.30033136764621</v>
      </c>
      <c r="W195" s="32"/>
      <c r="X195" s="62"/>
      <c r="Y195" s="62"/>
      <c r="Z195" s="62"/>
      <c r="AA195" s="62"/>
      <c r="AB195" s="62"/>
      <c r="AD195" s="166"/>
      <c r="AE195" s="166"/>
      <c r="AF195" s="166"/>
      <c r="AG195" s="166"/>
      <c r="AH195" s="166"/>
      <c r="AI195" s="166"/>
      <c r="AJ195" s="166"/>
      <c r="AK195" s="166"/>
      <c r="AL195" s="166"/>
      <c r="AM195" s="166"/>
      <c r="AN195" s="166"/>
      <c r="AO195" s="166"/>
    </row>
    <row r="196" spans="1:41" s="38" customFormat="1" ht="11.25" customHeight="1">
      <c r="A196" s="49"/>
      <c r="B196" s="49"/>
      <c r="C196" s="49"/>
      <c r="D196" s="49"/>
      <c r="E196" s="49"/>
      <c r="F196" s="18"/>
      <c r="G196" s="18"/>
      <c r="H196" s="34">
        <f t="shared" si="79"/>
        <v>32</v>
      </c>
      <c r="J196" s="18"/>
      <c r="K196" s="18"/>
      <c r="L196" s="62"/>
      <c r="M196" s="167"/>
      <c r="N196" s="62"/>
      <c r="O196" s="194">
        <f>+O193-O195</f>
        <v>14.533532231795135</v>
      </c>
      <c r="P196" s="180" t="s">
        <v>81</v>
      </c>
      <c r="Q196" s="194">
        <f>+Q193-Q195</f>
        <v>12.897435706900723</v>
      </c>
      <c r="R196" s="194">
        <f t="shared" ref="R196:V196" si="99">+R193-R195</f>
        <v>13.256148078120106</v>
      </c>
      <c r="S196" s="194">
        <f t="shared" si="99"/>
        <v>14.533532231795135</v>
      </c>
      <c r="T196" s="194">
        <f t="shared" si="99"/>
        <v>16.094709898161938</v>
      </c>
      <c r="U196" s="194">
        <f t="shared" si="99"/>
        <v>18.046181981120384</v>
      </c>
      <c r="V196" s="194">
        <f t="shared" si="99"/>
        <v>11.940356910439306</v>
      </c>
      <c r="W196" s="32"/>
      <c r="X196" s="62"/>
      <c r="Y196" s="62"/>
      <c r="Z196" s="62"/>
      <c r="AA196" s="62"/>
      <c r="AB196" s="62"/>
      <c r="AD196" s="166"/>
      <c r="AE196" s="166"/>
      <c r="AF196" s="166"/>
      <c r="AG196" s="166"/>
      <c r="AH196" s="166"/>
      <c r="AI196" s="166"/>
      <c r="AJ196" s="166"/>
      <c r="AK196" s="166"/>
      <c r="AL196" s="166"/>
      <c r="AM196" s="166"/>
      <c r="AN196" s="166"/>
      <c r="AO196" s="166"/>
    </row>
    <row r="197" spans="1:41" s="44" customFormat="1" ht="11.25" customHeight="1">
      <c r="A197" s="49"/>
      <c r="B197" s="49"/>
      <c r="C197" s="49"/>
      <c r="D197" s="49"/>
      <c r="E197" s="49"/>
      <c r="F197" s="18"/>
      <c r="G197" s="17"/>
      <c r="H197" s="34">
        <f t="shared" si="79"/>
        <v>33</v>
      </c>
      <c r="I197" s="38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32"/>
      <c r="X197" s="62"/>
      <c r="Y197" s="62"/>
      <c r="Z197" s="62"/>
      <c r="AA197" s="62"/>
      <c r="AB197" s="62"/>
      <c r="AD197" s="166"/>
      <c r="AE197" s="166"/>
      <c r="AF197" s="166"/>
      <c r="AG197" s="166"/>
      <c r="AH197" s="166"/>
      <c r="AI197" s="166"/>
      <c r="AJ197" s="166"/>
      <c r="AK197" s="166"/>
      <c r="AL197" s="166"/>
      <c r="AM197" s="166"/>
      <c r="AN197" s="166"/>
      <c r="AO197" s="166"/>
    </row>
    <row r="198" spans="1:41" s="38" customFormat="1" ht="11.25" customHeight="1">
      <c r="A198" s="49" t="s">
        <v>15</v>
      </c>
      <c r="B198" s="49"/>
      <c r="C198" s="49"/>
      <c r="D198" s="49"/>
      <c r="E198" s="49"/>
      <c r="F198" s="39">
        <v>1000</v>
      </c>
      <c r="G198" s="18"/>
      <c r="H198" s="34">
        <f t="shared" si="79"/>
        <v>34</v>
      </c>
      <c r="J198" s="196" t="s">
        <v>80</v>
      </c>
      <c r="K198" s="18"/>
      <c r="L198" s="62"/>
      <c r="M198" s="167"/>
      <c r="N198" s="213"/>
      <c r="O198" s="197">
        <v>230</v>
      </c>
      <c r="P198" s="196" t="str">
        <f>J198</f>
        <v>Odkupna cena; vir podatkov SURS; preračuni KIS</v>
      </c>
      <c r="Q198" s="197">
        <v>230</v>
      </c>
      <c r="R198" s="197">
        <v>230</v>
      </c>
      <c r="S198" s="197">
        <v>230</v>
      </c>
      <c r="T198" s="197">
        <v>230</v>
      </c>
      <c r="U198" s="197">
        <v>230</v>
      </c>
      <c r="V198" s="197">
        <v>230</v>
      </c>
      <c r="W198" s="201"/>
      <c r="X198" s="164"/>
      <c r="Y198" s="164"/>
      <c r="Z198" s="164"/>
      <c r="AA198" s="164"/>
      <c r="AB198" s="164"/>
      <c r="AD198" s="166"/>
      <c r="AE198" s="166"/>
      <c r="AF198" s="166"/>
      <c r="AG198" s="166"/>
      <c r="AH198" s="166"/>
      <c r="AI198" s="166"/>
      <c r="AJ198" s="166"/>
      <c r="AK198" s="166"/>
      <c r="AL198" s="166"/>
      <c r="AM198" s="166"/>
      <c r="AN198" s="166"/>
      <c r="AO198" s="166"/>
    </row>
    <row r="199" spans="1:41" s="44" customFormat="1" ht="11.25" customHeight="1">
      <c r="A199" s="49"/>
      <c r="B199" s="49"/>
      <c r="C199" s="49"/>
      <c r="D199" s="49"/>
      <c r="E199" s="49"/>
      <c r="F199" s="18"/>
      <c r="G199" s="17"/>
      <c r="H199" s="34">
        <f t="shared" si="79"/>
        <v>35</v>
      </c>
      <c r="I199" s="38"/>
      <c r="J199" s="198" t="str">
        <f>+J162</f>
        <v>Bruto dodana vrednost</v>
      </c>
      <c r="K199" s="18"/>
      <c r="L199" s="164"/>
      <c r="M199" s="165"/>
      <c r="N199" s="164"/>
      <c r="O199" s="199">
        <f>O187+O186+O174-O172</f>
        <v>393.09185786330249</v>
      </c>
      <c r="P199" s="195">
        <f t="shared" ref="P199" si="100">P187+P186-P172</f>
        <v>0</v>
      </c>
      <c r="Q199" s="199">
        <f t="shared" ref="Q199" si="101">Q187+Q186+Q174-Q172</f>
        <v>595.95799957484724</v>
      </c>
      <c r="R199" s="199">
        <f t="shared" ref="R199:V199" si="102">R187+R186+R174-R172</f>
        <v>501.64146075466579</v>
      </c>
      <c r="S199" s="199">
        <f t="shared" si="102"/>
        <v>393.09185786330249</v>
      </c>
      <c r="T199" s="199">
        <f t="shared" si="102"/>
        <v>285.13604480480694</v>
      </c>
      <c r="U199" s="199">
        <f t="shared" si="102"/>
        <v>206.13188174631182</v>
      </c>
      <c r="V199" s="199">
        <f t="shared" si="102"/>
        <v>426.59361871755982</v>
      </c>
      <c r="W199" s="32"/>
      <c r="X199" s="62"/>
      <c r="Y199" s="62"/>
      <c r="Z199" s="62"/>
      <c r="AA199" s="62"/>
      <c r="AB199" s="62"/>
      <c r="AD199" s="166"/>
      <c r="AE199" s="166"/>
      <c r="AF199" s="166"/>
      <c r="AG199" s="166"/>
      <c r="AH199" s="166"/>
      <c r="AI199" s="166"/>
      <c r="AJ199" s="166"/>
      <c r="AK199" s="166"/>
      <c r="AL199" s="166"/>
      <c r="AM199" s="166"/>
      <c r="AN199" s="166"/>
      <c r="AO199" s="166"/>
    </row>
    <row r="200" spans="1:41" s="38" customFormat="1" ht="11.25" customHeight="1">
      <c r="A200" s="112" t="s">
        <v>11</v>
      </c>
      <c r="B200" s="49"/>
      <c r="C200" s="49"/>
      <c r="D200" s="49"/>
      <c r="E200" s="49"/>
      <c r="F200" s="18"/>
      <c r="G200" s="18"/>
      <c r="H200" s="34">
        <f t="shared" si="79"/>
        <v>36</v>
      </c>
      <c r="J200" s="182" t="s">
        <v>11</v>
      </c>
      <c r="K200" s="46"/>
      <c r="L200" s="62"/>
      <c r="M200" s="167"/>
      <c r="N200" s="62"/>
      <c r="O200" s="159">
        <v>152.33489935689926</v>
      </c>
      <c r="P200" s="42"/>
      <c r="Q200" s="159">
        <v>163.7907535112914</v>
      </c>
      <c r="R200" s="159">
        <v>154.37177515391352</v>
      </c>
      <c r="S200" s="159">
        <v>152.33489935689926</v>
      </c>
      <c r="T200" s="159">
        <v>150.29262137908796</v>
      </c>
      <c r="U200" s="159">
        <v>148.25034340127658</v>
      </c>
      <c r="V200" s="159">
        <v>126.61072808971228</v>
      </c>
      <c r="W200" s="201"/>
      <c r="X200" s="164"/>
      <c r="Y200" s="164"/>
      <c r="Z200" s="164"/>
      <c r="AA200" s="164"/>
      <c r="AB200" s="164"/>
      <c r="AD200" s="166"/>
      <c r="AE200" s="166"/>
      <c r="AF200" s="166"/>
      <c r="AG200" s="166"/>
      <c r="AH200" s="166"/>
      <c r="AI200" s="166"/>
      <c r="AJ200" s="166"/>
      <c r="AK200" s="166"/>
      <c r="AL200" s="166"/>
      <c r="AM200" s="166"/>
      <c r="AN200" s="166"/>
      <c r="AO200" s="166"/>
    </row>
    <row r="201" spans="1:41" s="38" customFormat="1" ht="11.25" customHeight="1">
      <c r="A201" s="49"/>
      <c r="B201" s="49"/>
      <c r="C201" s="49"/>
      <c r="D201" s="49"/>
      <c r="E201" s="49"/>
      <c r="F201" s="18"/>
      <c r="G201" s="62"/>
      <c r="H201" s="34">
        <f t="shared" si="79"/>
        <v>37</v>
      </c>
      <c r="J201" s="18" t="s">
        <v>157</v>
      </c>
      <c r="K201" s="46"/>
      <c r="L201" s="62"/>
      <c r="M201" s="167"/>
      <c r="N201" s="62"/>
      <c r="O201" s="220">
        <f>+O199-O200</f>
        <v>240.75695850640324</v>
      </c>
      <c r="P201" s="167"/>
      <c r="Q201" s="220">
        <f>+Q199-Q200</f>
        <v>432.16724606355581</v>
      </c>
      <c r="R201" s="220">
        <f t="shared" ref="R201:V201" si="103">+R199-R200</f>
        <v>347.26968560075227</v>
      </c>
      <c r="S201" s="220">
        <f t="shared" si="103"/>
        <v>240.75695850640324</v>
      </c>
      <c r="T201" s="220">
        <f t="shared" si="103"/>
        <v>134.84342342571898</v>
      </c>
      <c r="U201" s="220">
        <f t="shared" si="103"/>
        <v>57.881538345035239</v>
      </c>
      <c r="V201" s="220">
        <f t="shared" si="103"/>
        <v>299.98289062784755</v>
      </c>
      <c r="W201" s="32"/>
      <c r="X201" s="62"/>
      <c r="Y201" s="62"/>
      <c r="Z201" s="62"/>
      <c r="AA201" s="62"/>
      <c r="AB201" s="62"/>
      <c r="AD201" s="166"/>
      <c r="AE201" s="166"/>
      <c r="AF201" s="166"/>
      <c r="AG201" s="166"/>
      <c r="AH201" s="166"/>
      <c r="AI201" s="166"/>
      <c r="AJ201" s="166"/>
      <c r="AK201" s="166"/>
      <c r="AL201" s="166"/>
      <c r="AM201" s="166"/>
      <c r="AN201" s="166"/>
      <c r="AO201" s="166"/>
    </row>
    <row r="202" spans="1:41" s="38" customFormat="1">
      <c r="A202" s="49"/>
      <c r="B202" s="49"/>
      <c r="C202" s="49"/>
      <c r="D202" s="49"/>
      <c r="E202" s="49"/>
      <c r="F202" s="114"/>
      <c r="G202" s="114"/>
      <c r="H202" s="61">
        <f>1</f>
        <v>1</v>
      </c>
      <c r="I202" s="61" t="str">
        <f>+J204</f>
        <v>Krompir pozni</v>
      </c>
      <c r="J202" s="60" t="s">
        <v>115</v>
      </c>
      <c r="K202" s="61"/>
      <c r="L202" s="61"/>
      <c r="M202" s="61"/>
      <c r="N202" s="61"/>
      <c r="O202" s="145" t="e">
        <f>O210-O222+O215-'2026'!#REF!-'2026'!#REF!</f>
        <v>#REF!</v>
      </c>
      <c r="P202" s="61"/>
      <c r="Q202" s="145" t="e">
        <f>Q210-Q222+Q215-'2026'!#REF!-'2026'!#REF!</f>
        <v>#REF!</v>
      </c>
      <c r="R202" s="145" t="e">
        <f>R210-R222+R215-'2026'!#REF!-'2026'!#REF!</f>
        <v>#REF!</v>
      </c>
      <c r="S202" s="145" t="e">
        <f>S210-S222+S215-'2026'!#REF!-'2026'!#REF!</f>
        <v>#REF!</v>
      </c>
      <c r="T202" s="145" t="e">
        <f>T210-T222+T215-'2026'!#REF!-'2026'!#REF!</f>
        <v>#REF!</v>
      </c>
      <c r="U202" s="145" t="e">
        <f>U210-U222+U215-'2026'!#REF!-'2026'!#REF!</f>
        <v>#REF!</v>
      </c>
      <c r="V202" s="145" t="e">
        <f>V210-V222+V215-'2026'!#REF!-'2026'!#REF!</f>
        <v>#REF!</v>
      </c>
      <c r="W202" s="61"/>
      <c r="X202" s="61"/>
      <c r="Y202" s="61"/>
      <c r="Z202" s="61"/>
      <c r="AA202" s="61"/>
      <c r="AB202" s="61"/>
      <c r="AD202" s="166"/>
      <c r="AE202" s="166"/>
      <c r="AF202" s="166"/>
      <c r="AG202" s="166"/>
      <c r="AH202" s="166"/>
      <c r="AI202" s="166"/>
      <c r="AJ202" s="166"/>
      <c r="AK202" s="166"/>
      <c r="AL202" s="166"/>
      <c r="AM202" s="166"/>
      <c r="AN202" s="166"/>
      <c r="AO202" s="166"/>
    </row>
    <row r="203" spans="1:41" s="38" customFormat="1">
      <c r="A203" s="49"/>
      <c r="B203" s="49"/>
      <c r="C203" s="49"/>
      <c r="D203" s="49"/>
      <c r="E203" s="49"/>
      <c r="G203" s="115"/>
      <c r="H203" s="34">
        <f>H202+1</f>
        <v>2</v>
      </c>
      <c r="I203" s="38" t="str">
        <f>+I202</f>
        <v>Krompir pozni</v>
      </c>
      <c r="J203" s="36" t="s">
        <v>116</v>
      </c>
      <c r="K203" s="37"/>
      <c r="L203" s="37"/>
      <c r="M203" s="148"/>
      <c r="N203" s="37"/>
      <c r="O203" s="204" t="e">
        <f>#REF!</f>
        <v>#REF!</v>
      </c>
      <c r="P203" s="204"/>
      <c r="Q203" s="149" t="s">
        <v>112</v>
      </c>
      <c r="R203" s="149" t="s">
        <v>111</v>
      </c>
      <c r="S203" s="149" t="s">
        <v>122</v>
      </c>
      <c r="T203" s="149" t="s">
        <v>167</v>
      </c>
      <c r="U203" s="149" t="s">
        <v>168</v>
      </c>
      <c r="V203" s="37" t="s">
        <v>169</v>
      </c>
      <c r="W203" s="37"/>
      <c r="X203" s="37"/>
      <c r="Y203" s="37"/>
      <c r="Z203" s="37"/>
      <c r="AA203" s="37"/>
      <c r="AB203" s="37"/>
      <c r="AD203" s="166"/>
      <c r="AE203" s="166"/>
      <c r="AF203" s="166"/>
      <c r="AG203" s="166"/>
      <c r="AH203" s="166"/>
      <c r="AI203" s="166"/>
      <c r="AJ203" s="166"/>
      <c r="AK203" s="166"/>
      <c r="AL203" s="166"/>
      <c r="AM203" s="166"/>
      <c r="AN203" s="166"/>
      <c r="AO203" s="166"/>
    </row>
    <row r="204" spans="1:41" s="38" customFormat="1">
      <c r="A204" s="49"/>
      <c r="B204" s="49"/>
      <c r="C204" s="49"/>
      <c r="D204" s="49"/>
      <c r="E204" s="49"/>
      <c r="F204" s="116" t="e">
        <f>#REF!</f>
        <v>#REF!</v>
      </c>
      <c r="G204" s="115"/>
      <c r="H204" s="34">
        <f t="shared" ref="H204:H238" si="104">H203+1</f>
        <v>3</v>
      </c>
      <c r="I204" s="38" t="str">
        <f>+I203</f>
        <v>Krompir pozni</v>
      </c>
      <c r="J204" s="40" t="s">
        <v>190</v>
      </c>
      <c r="K204" s="18" t="str">
        <f>+K$56</f>
        <v>Enota</v>
      </c>
      <c r="L204" s="102"/>
      <c r="M204" s="150"/>
      <c r="N204" s="144"/>
      <c r="O204" s="107"/>
      <c r="P204" s="107"/>
      <c r="Q204" s="18"/>
      <c r="R204" s="18"/>
      <c r="S204" s="107"/>
      <c r="T204" s="18"/>
      <c r="U204" s="107"/>
      <c r="X204" s="38" t="s">
        <v>69</v>
      </c>
      <c r="AD204" s="166"/>
      <c r="AE204" s="166"/>
      <c r="AF204" s="166"/>
      <c r="AG204" s="166"/>
      <c r="AH204" s="166"/>
      <c r="AI204" s="166"/>
      <c r="AJ204" s="166"/>
      <c r="AK204" s="166"/>
      <c r="AL204" s="166"/>
      <c r="AM204" s="166"/>
      <c r="AN204" s="166"/>
      <c r="AO204" s="166"/>
    </row>
    <row r="205" spans="1:41" s="38" customFormat="1">
      <c r="A205" s="49"/>
      <c r="B205" s="49"/>
      <c r="C205" s="49"/>
      <c r="D205" s="49"/>
      <c r="E205" s="49"/>
      <c r="G205" s="115"/>
      <c r="H205" s="34">
        <f t="shared" si="104"/>
        <v>4</v>
      </c>
      <c r="I205" s="38" t="str">
        <f>+I204</f>
        <v>Krompir pozni</v>
      </c>
      <c r="J205" s="17" t="s">
        <v>65</v>
      </c>
      <c r="K205" s="18"/>
      <c r="L205" s="102"/>
      <c r="M205" s="150"/>
      <c r="N205" s="144"/>
      <c r="O205" s="107"/>
      <c r="P205" s="107"/>
      <c r="Q205" s="102"/>
      <c r="R205" s="102" t="s">
        <v>63</v>
      </c>
      <c r="S205" s="102" t="s">
        <v>62</v>
      </c>
      <c r="T205" s="102" t="s">
        <v>61</v>
      </c>
      <c r="U205" s="102"/>
      <c r="V205" s="102"/>
      <c r="W205" s="102"/>
      <c r="X205" s="144" t="str">
        <f>R205</f>
        <v>M 2</v>
      </c>
      <c r="Y205" s="102" t="str">
        <f>S205</f>
        <v>M 3</v>
      </c>
      <c r="Z205" s="102" t="str">
        <f>T205</f>
        <v>M 4</v>
      </c>
      <c r="AA205" s="102"/>
      <c r="AB205" s="102"/>
      <c r="AD205" s="166"/>
      <c r="AE205" s="166"/>
      <c r="AF205" s="166"/>
      <c r="AG205" s="166"/>
      <c r="AH205" s="166"/>
      <c r="AI205" s="166"/>
      <c r="AJ205" s="166"/>
      <c r="AK205" s="166"/>
      <c r="AL205" s="166"/>
      <c r="AM205" s="166"/>
      <c r="AN205" s="166"/>
      <c r="AO205" s="166"/>
    </row>
    <row r="206" spans="1:41" s="38" customFormat="1">
      <c r="A206" s="49" t="s">
        <v>9</v>
      </c>
      <c r="B206" s="49"/>
      <c r="C206" s="49"/>
      <c r="D206" s="49"/>
      <c r="E206" s="49"/>
      <c r="F206" s="18"/>
      <c r="G206" s="115"/>
      <c r="H206" s="34">
        <f t="shared" si="104"/>
        <v>5</v>
      </c>
      <c r="I206" s="38" t="str">
        <f>+I205</f>
        <v>Krompir pozni</v>
      </c>
      <c r="J206" s="17" t="s">
        <v>8</v>
      </c>
      <c r="K206" s="18" t="s">
        <v>7</v>
      </c>
      <c r="L206" s="152"/>
      <c r="M206" s="205"/>
      <c r="N206" s="154"/>
      <c r="O206" s="159">
        <v>40000</v>
      </c>
      <c r="P206" s="18"/>
      <c r="Q206" s="159">
        <v>50000</v>
      </c>
      <c r="R206" s="159">
        <v>40000</v>
      </c>
      <c r="S206" s="159">
        <v>30000</v>
      </c>
      <c r="T206" s="159">
        <v>25000</v>
      </c>
      <c r="U206" s="159">
        <v>30000</v>
      </c>
      <c r="V206" s="159">
        <v>40000</v>
      </c>
      <c r="W206" s="102"/>
      <c r="X206" s="102">
        <f>R206/$Q206*100</f>
        <v>80</v>
      </c>
      <c r="Y206" s="102">
        <f>S206/$Q206*100</f>
        <v>60</v>
      </c>
      <c r="Z206" s="102">
        <f>S206/$Q206*100</f>
        <v>60</v>
      </c>
      <c r="AA206" s="102"/>
      <c r="AB206" s="102"/>
      <c r="AD206" s="166"/>
      <c r="AE206" s="166"/>
      <c r="AF206" s="166"/>
      <c r="AG206" s="166"/>
      <c r="AH206" s="166"/>
      <c r="AI206" s="166"/>
      <c r="AJ206" s="166"/>
      <c r="AK206" s="166"/>
      <c r="AL206" s="166"/>
      <c r="AM206" s="166"/>
      <c r="AN206" s="166"/>
      <c r="AO206" s="166"/>
    </row>
    <row r="207" spans="1:41" s="38" customFormat="1">
      <c r="A207" s="49" t="s">
        <v>75</v>
      </c>
      <c r="B207" s="49"/>
      <c r="C207" s="49"/>
      <c r="D207" s="49"/>
      <c r="E207" s="49"/>
      <c r="F207" s="18"/>
      <c r="G207" s="115"/>
      <c r="H207" s="34">
        <f t="shared" si="104"/>
        <v>6</v>
      </c>
      <c r="J207" s="17"/>
      <c r="K207" s="18"/>
      <c r="L207" s="152"/>
      <c r="M207" s="205"/>
      <c r="N207" s="154"/>
      <c r="O207" s="152"/>
      <c r="P207" s="18"/>
      <c r="Q207" s="152"/>
      <c r="R207" s="152"/>
      <c r="S207" s="152"/>
      <c r="T207" s="152"/>
      <c r="U207" s="152"/>
      <c r="V207" s="152"/>
      <c r="W207" s="102"/>
      <c r="X207" s="102"/>
      <c r="Y207" s="102"/>
      <c r="Z207" s="102"/>
      <c r="AA207" s="102"/>
      <c r="AB207" s="102"/>
      <c r="AD207" s="166"/>
      <c r="AE207" s="166"/>
      <c r="AF207" s="166"/>
      <c r="AG207" s="166"/>
      <c r="AH207" s="166"/>
      <c r="AI207" s="166"/>
      <c r="AJ207" s="166"/>
      <c r="AK207" s="166"/>
      <c r="AL207" s="166"/>
      <c r="AM207" s="166"/>
      <c r="AN207" s="166"/>
      <c r="AO207" s="166"/>
    </row>
    <row r="208" spans="1:41" s="38" customFormat="1">
      <c r="A208" s="49" t="s">
        <v>72</v>
      </c>
      <c r="B208" s="49"/>
      <c r="C208" s="49"/>
      <c r="D208" s="49"/>
      <c r="E208" s="49"/>
      <c r="F208" s="18"/>
      <c r="G208" s="115"/>
      <c r="H208" s="34">
        <f t="shared" si="104"/>
        <v>7</v>
      </c>
      <c r="I208" s="38" t="str">
        <f>+I206</f>
        <v>Krompir pozni</v>
      </c>
      <c r="J208" s="17" t="s">
        <v>71</v>
      </c>
      <c r="K208" s="18" t="s">
        <v>70</v>
      </c>
      <c r="L208" s="102"/>
      <c r="M208" s="150"/>
      <c r="N208" s="144"/>
      <c r="O208" s="159">
        <v>1</v>
      </c>
      <c r="P208" s="159"/>
      <c r="Q208" s="159">
        <v>1</v>
      </c>
      <c r="R208" s="159">
        <v>1</v>
      </c>
      <c r="S208" s="159">
        <v>1</v>
      </c>
      <c r="T208" s="159">
        <v>1</v>
      </c>
      <c r="U208" s="159">
        <v>0.2</v>
      </c>
      <c r="V208" s="159">
        <v>0.5</v>
      </c>
      <c r="W208" s="102"/>
      <c r="X208" s="147"/>
      <c r="Y208" s="147"/>
      <c r="Z208" s="147"/>
      <c r="AA208" s="147"/>
      <c r="AB208" s="147"/>
      <c r="AD208" s="166"/>
      <c r="AE208" s="166"/>
      <c r="AF208" s="166"/>
      <c r="AG208" s="166"/>
      <c r="AH208" s="166"/>
      <c r="AI208" s="166"/>
      <c r="AJ208" s="166"/>
      <c r="AK208" s="166"/>
      <c r="AL208" s="166"/>
      <c r="AM208" s="166"/>
      <c r="AN208" s="166"/>
      <c r="AO208" s="166"/>
    </row>
    <row r="209" spans="1:41" s="38" customFormat="1">
      <c r="A209" s="112" t="s">
        <v>12</v>
      </c>
      <c r="B209" s="49"/>
      <c r="C209" s="49"/>
      <c r="D209" s="49"/>
      <c r="E209" s="49"/>
      <c r="F209" s="18"/>
      <c r="G209" s="115"/>
      <c r="H209" s="34">
        <f t="shared" si="104"/>
        <v>8</v>
      </c>
      <c r="I209" s="38" t="str">
        <f>+I204</f>
        <v>Krompir pozni</v>
      </c>
      <c r="J209" s="17" t="str">
        <f>+J$61</f>
        <v>Kupljen material in storitve</v>
      </c>
      <c r="K209" s="18"/>
      <c r="L209" s="18"/>
      <c r="M209" s="136"/>
      <c r="N209" s="18"/>
      <c r="O209" s="159">
        <v>6630.2155102644083</v>
      </c>
      <c r="P209" s="18"/>
      <c r="Q209" s="159">
        <v>6845.0234370162179</v>
      </c>
      <c r="R209" s="159">
        <v>6630.2155102644083</v>
      </c>
      <c r="S209" s="159">
        <v>6375.8971056341688</v>
      </c>
      <c r="T209" s="159">
        <v>6185.7434915487656</v>
      </c>
      <c r="U209" s="159">
        <v>6476.2091307953333</v>
      </c>
      <c r="V209" s="159">
        <v>6670.974171242653</v>
      </c>
      <c r="W209" s="152"/>
      <c r="X209" s="147"/>
      <c r="Y209" s="147"/>
      <c r="Z209" s="147"/>
      <c r="AA209" s="147"/>
      <c r="AB209" s="147"/>
      <c r="AD209" s="166"/>
      <c r="AE209" s="166"/>
      <c r="AF209" s="166"/>
      <c r="AG209" s="166"/>
      <c r="AH209" s="166"/>
      <c r="AI209" s="166"/>
      <c r="AJ209" s="166"/>
      <c r="AK209" s="166"/>
      <c r="AL209" s="166"/>
      <c r="AM209" s="166"/>
      <c r="AN209" s="166"/>
      <c r="AO209" s="166"/>
    </row>
    <row r="210" spans="1:41" s="44" customFormat="1">
      <c r="A210" s="49" t="s">
        <v>5</v>
      </c>
      <c r="B210" s="49"/>
      <c r="C210" s="49"/>
      <c r="D210" s="49"/>
      <c r="E210" s="49"/>
      <c r="F210" s="18"/>
      <c r="G210" s="115"/>
      <c r="H210" s="34">
        <f t="shared" si="104"/>
        <v>9</v>
      </c>
      <c r="I210" s="38" t="str">
        <f t="shared" ref="I210:I237" si="105">+I209</f>
        <v>Krompir pozni</v>
      </c>
      <c r="J210" s="17" t="str">
        <f>+J$62</f>
        <v>Stroški skupaj</v>
      </c>
      <c r="K210" s="18" t="str">
        <f>+K$62</f>
        <v>EUR/ha</v>
      </c>
      <c r="L210" s="43"/>
      <c r="M210" s="214"/>
      <c r="N210" s="42"/>
      <c r="O210" s="159">
        <v>12250.73869739695</v>
      </c>
      <c r="P210" s="42"/>
      <c r="Q210" s="159">
        <v>13250.836694227599</v>
      </c>
      <c r="R210" s="159">
        <v>12250.73869739695</v>
      </c>
      <c r="S210" s="159">
        <v>11187.425397042814</v>
      </c>
      <c r="T210" s="159">
        <v>10577.543715045262</v>
      </c>
      <c r="U210" s="159">
        <v>11629.096707676284</v>
      </c>
      <c r="V210" s="159">
        <v>12432.458552626877</v>
      </c>
      <c r="W210" s="156"/>
      <c r="X210" s="147">
        <f t="shared" ref="X210:Z213" si="106">R210/$Q210*100</f>
        <v>92.452567185690867</v>
      </c>
      <c r="Y210" s="147">
        <f t="shared" si="106"/>
        <v>84.428067866207584</v>
      </c>
      <c r="Z210" s="147">
        <f t="shared" si="106"/>
        <v>79.825477885884055</v>
      </c>
      <c r="AA210" s="147"/>
      <c r="AB210" s="147"/>
      <c r="AD210" s="166"/>
      <c r="AE210" s="166"/>
      <c r="AF210" s="166"/>
      <c r="AG210" s="166"/>
      <c r="AH210" s="166"/>
      <c r="AI210" s="166"/>
      <c r="AJ210" s="166"/>
      <c r="AK210" s="166"/>
      <c r="AL210" s="166"/>
      <c r="AM210" s="166"/>
      <c r="AN210" s="166"/>
      <c r="AO210" s="166"/>
    </row>
    <row r="211" spans="1:41" s="38" customFormat="1">
      <c r="A211" s="49" t="s">
        <v>4</v>
      </c>
      <c r="B211" s="49"/>
      <c r="C211" s="49"/>
      <c r="D211" s="49"/>
      <c r="E211" s="49"/>
      <c r="F211" s="18"/>
      <c r="G211" s="115"/>
      <c r="H211" s="34">
        <f t="shared" si="104"/>
        <v>10</v>
      </c>
      <c r="I211" s="38" t="str">
        <f t="shared" si="105"/>
        <v>Krompir pozni</v>
      </c>
      <c r="J211" s="17" t="str">
        <f>+J$63</f>
        <v>Stranski pridelki</v>
      </c>
      <c r="K211" s="18" t="str">
        <f>+K$63</f>
        <v>EUR/ha</v>
      </c>
      <c r="L211" s="43"/>
      <c r="M211" s="214"/>
      <c r="N211" s="43"/>
      <c r="O211" s="159">
        <v>734.40000000000009</v>
      </c>
      <c r="P211" s="43"/>
      <c r="Q211" s="159">
        <v>918.00000000000011</v>
      </c>
      <c r="R211" s="159">
        <v>734.40000000000009</v>
      </c>
      <c r="S211" s="159">
        <v>550.80000000000007</v>
      </c>
      <c r="T211" s="159">
        <v>459.00000000000006</v>
      </c>
      <c r="U211" s="159">
        <v>550.80000000000007</v>
      </c>
      <c r="V211" s="159">
        <v>734.40000000000009</v>
      </c>
      <c r="W211" s="201"/>
      <c r="X211" s="147">
        <f t="shared" si="106"/>
        <v>80</v>
      </c>
      <c r="Y211" s="147">
        <f t="shared" si="106"/>
        <v>60</v>
      </c>
      <c r="Z211" s="147">
        <f t="shared" si="106"/>
        <v>50</v>
      </c>
      <c r="AA211" s="147"/>
      <c r="AB211" s="147"/>
      <c r="AD211" s="166"/>
      <c r="AE211" s="166"/>
      <c r="AF211" s="166"/>
      <c r="AG211" s="166"/>
      <c r="AH211" s="166"/>
      <c r="AI211" s="166"/>
      <c r="AJ211" s="166"/>
      <c r="AK211" s="166"/>
      <c r="AL211" s="166"/>
      <c r="AM211" s="166"/>
      <c r="AN211" s="166"/>
      <c r="AO211" s="166"/>
    </row>
    <row r="212" spans="1:41" s="38" customFormat="1">
      <c r="A212" s="49"/>
      <c r="B212" s="49"/>
      <c r="C212" s="49"/>
      <c r="D212" s="49"/>
      <c r="E212" s="49"/>
      <c r="F212" s="18"/>
      <c r="G212" s="115"/>
      <c r="H212" s="34">
        <f t="shared" si="104"/>
        <v>11</v>
      </c>
      <c r="I212" s="38" t="str">
        <f t="shared" si="105"/>
        <v>Krompir pozni</v>
      </c>
      <c r="J212" s="17" t="str">
        <f>+J$64</f>
        <v>Stroški glavnega pridelka</v>
      </c>
      <c r="K212" s="18" t="str">
        <f>+K$64</f>
        <v>EUR/ha</v>
      </c>
      <c r="L212" s="215"/>
      <c r="M212" s="214"/>
      <c r="N212" s="215"/>
      <c r="O212" s="169">
        <f>+O210-O211</f>
        <v>11516.33869739695</v>
      </c>
      <c r="P212" s="43"/>
      <c r="Q212" s="169">
        <f>+Q210-Q211</f>
        <v>12332.836694227599</v>
      </c>
      <c r="R212" s="169">
        <f t="shared" ref="R212:V212" si="107">+R210-R211</f>
        <v>11516.33869739695</v>
      </c>
      <c r="S212" s="169">
        <f t="shared" si="107"/>
        <v>10636.625397042815</v>
      </c>
      <c r="T212" s="169">
        <f t="shared" si="107"/>
        <v>10118.543715045262</v>
      </c>
      <c r="U212" s="169">
        <f t="shared" si="107"/>
        <v>11078.296707676285</v>
      </c>
      <c r="V212" s="169">
        <f t="shared" si="107"/>
        <v>11698.058552626877</v>
      </c>
      <c r="W212" s="32"/>
      <c r="X212" s="147">
        <f t="shared" si="106"/>
        <v>93.379479376283228</v>
      </c>
      <c r="Y212" s="147">
        <f t="shared" si="106"/>
        <v>86.246381597036006</v>
      </c>
      <c r="Z212" s="147">
        <f t="shared" si="106"/>
        <v>82.045550151339157</v>
      </c>
      <c r="AA212" s="147"/>
      <c r="AB212" s="147"/>
      <c r="AD212" s="166"/>
      <c r="AE212" s="166"/>
      <c r="AF212" s="166"/>
      <c r="AG212" s="166"/>
      <c r="AH212" s="166"/>
      <c r="AI212" s="166"/>
      <c r="AJ212" s="166"/>
      <c r="AK212" s="166"/>
      <c r="AL212" s="166"/>
      <c r="AM212" s="166"/>
      <c r="AN212" s="166"/>
      <c r="AO212" s="166"/>
    </row>
    <row r="213" spans="1:41" s="38" customFormat="1">
      <c r="A213" s="49" t="s">
        <v>3</v>
      </c>
      <c r="B213" s="49" t="s">
        <v>0</v>
      </c>
      <c r="C213" s="49" t="s">
        <v>2</v>
      </c>
      <c r="D213" s="49" t="s">
        <v>1</v>
      </c>
      <c r="E213" s="49" t="s">
        <v>0</v>
      </c>
      <c r="F213" s="18"/>
      <c r="G213" s="115"/>
      <c r="H213" s="34">
        <f t="shared" si="104"/>
        <v>12</v>
      </c>
      <c r="I213" s="38" t="str">
        <f t="shared" si="105"/>
        <v>Krompir pozni</v>
      </c>
      <c r="J213" s="17" t="str">
        <f>+J$65</f>
        <v>Subvencije</v>
      </c>
      <c r="K213" s="18" t="str">
        <f>+K$65</f>
        <v>EUR/ha</v>
      </c>
      <c r="L213" s="43"/>
      <c r="M213" s="214"/>
      <c r="N213" s="43"/>
      <c r="O213" s="159">
        <v>23.94</v>
      </c>
      <c r="P213" s="43"/>
      <c r="Q213" s="159">
        <v>23.94</v>
      </c>
      <c r="R213" s="159">
        <v>23.94</v>
      </c>
      <c r="S213" s="159">
        <v>23.94</v>
      </c>
      <c r="T213" s="159">
        <v>23.94</v>
      </c>
      <c r="U213" s="159">
        <v>23.94</v>
      </c>
      <c r="V213" s="159">
        <v>23.94</v>
      </c>
      <c r="W213" s="32"/>
      <c r="X213" s="147">
        <f t="shared" si="106"/>
        <v>100</v>
      </c>
      <c r="Y213" s="147">
        <f t="shared" si="106"/>
        <v>100</v>
      </c>
      <c r="Z213" s="147">
        <f t="shared" si="106"/>
        <v>100</v>
      </c>
      <c r="AA213" s="147"/>
      <c r="AB213" s="147"/>
      <c r="AD213" s="166"/>
      <c r="AE213" s="166"/>
      <c r="AF213" s="166"/>
      <c r="AG213" s="166"/>
      <c r="AH213" s="166"/>
      <c r="AI213" s="166"/>
      <c r="AJ213" s="166"/>
      <c r="AK213" s="166"/>
      <c r="AL213" s="166"/>
      <c r="AM213" s="166"/>
      <c r="AN213" s="166"/>
      <c r="AO213" s="166"/>
    </row>
    <row r="214" spans="1:41" s="38" customFormat="1">
      <c r="A214" s="49"/>
      <c r="B214" s="49"/>
      <c r="C214" s="49" t="s">
        <v>6</v>
      </c>
      <c r="D214" s="49"/>
      <c r="E214" s="49"/>
      <c r="F214" s="18"/>
      <c r="G214" s="115"/>
      <c r="H214" s="34">
        <f t="shared" si="104"/>
        <v>13</v>
      </c>
      <c r="I214" s="38" t="str">
        <f t="shared" si="105"/>
        <v>Krompir pozni</v>
      </c>
      <c r="J214" s="17" t="str">
        <f>+J$66</f>
        <v>Stroški, zmanjšani za subvencije</v>
      </c>
      <c r="K214" s="18" t="str">
        <f>+K$66</f>
        <v>EUR/ha</v>
      </c>
      <c r="L214" s="215"/>
      <c r="M214" s="214"/>
      <c r="N214" s="215"/>
      <c r="O214" s="171">
        <f>+O212-O213</f>
        <v>11492.39869739695</v>
      </c>
      <c r="P214" s="43"/>
      <c r="Q214" s="171">
        <f>+Q212-Q213</f>
        <v>12308.896694227598</v>
      </c>
      <c r="R214" s="171">
        <f t="shared" ref="R214:V214" si="108">+R212-R213</f>
        <v>11492.39869739695</v>
      </c>
      <c r="S214" s="171">
        <f t="shared" si="108"/>
        <v>10612.685397042815</v>
      </c>
      <c r="T214" s="171">
        <f t="shared" si="108"/>
        <v>10094.603715045261</v>
      </c>
      <c r="U214" s="171">
        <f t="shared" si="108"/>
        <v>11054.356707676285</v>
      </c>
      <c r="V214" s="171">
        <f t="shared" si="108"/>
        <v>11674.118552626876</v>
      </c>
      <c r="W214" s="32"/>
      <c r="X214" s="147"/>
      <c r="Y214" s="147"/>
      <c r="Z214" s="147"/>
      <c r="AA214" s="147"/>
      <c r="AB214" s="147"/>
      <c r="AD214" s="166"/>
      <c r="AE214" s="166"/>
      <c r="AF214" s="166"/>
      <c r="AG214" s="166"/>
      <c r="AH214" s="166"/>
      <c r="AI214" s="166"/>
      <c r="AJ214" s="166"/>
      <c r="AK214" s="166"/>
      <c r="AL214" s="166"/>
      <c r="AM214" s="166"/>
      <c r="AN214" s="166"/>
      <c r="AO214" s="166"/>
    </row>
    <row r="215" spans="1:41" s="38" customFormat="1">
      <c r="A215" s="49"/>
      <c r="B215" s="49"/>
      <c r="C215" s="49"/>
      <c r="D215" s="49"/>
      <c r="E215" s="49"/>
      <c r="F215" s="18"/>
      <c r="G215" s="115"/>
      <c r="H215" s="34">
        <f t="shared" si="104"/>
        <v>14</v>
      </c>
      <c r="I215" s="38" t="str">
        <f t="shared" si="105"/>
        <v>Krompir pozni</v>
      </c>
      <c r="J215" s="17" t="str">
        <f>+J$67</f>
        <v>Stroški, zmanjšani za subvencije/kg</v>
      </c>
      <c r="K215" s="18" t="str">
        <f>+K$67</f>
        <v>EUR/kg</v>
      </c>
      <c r="L215" s="216"/>
      <c r="M215" s="217"/>
      <c r="N215" s="215"/>
      <c r="O215" s="177">
        <f>+O214/O206</f>
        <v>0.28730996743492376</v>
      </c>
      <c r="P215" s="218"/>
      <c r="Q215" s="177">
        <f>+Q214/Q206</f>
        <v>0.24617793388455197</v>
      </c>
      <c r="R215" s="177">
        <f t="shared" ref="R215:V215" si="109">+R214/R206</f>
        <v>0.28730996743492376</v>
      </c>
      <c r="S215" s="177">
        <f t="shared" si="109"/>
        <v>0.35375617990142716</v>
      </c>
      <c r="T215" s="177">
        <f t="shared" si="109"/>
        <v>0.40378414860181044</v>
      </c>
      <c r="U215" s="177">
        <f t="shared" si="109"/>
        <v>0.36847855692254283</v>
      </c>
      <c r="V215" s="177">
        <f t="shared" si="109"/>
        <v>0.29185296381567188</v>
      </c>
      <c r="W215" s="32"/>
      <c r="X215" s="147">
        <f>R215/$Q215*100</f>
        <v>116.70825362018886</v>
      </c>
      <c r="Y215" s="147">
        <f>S215/$Q215*100</f>
        <v>143.69938617947994</v>
      </c>
      <c r="Z215" s="147">
        <f>T215/$Q215*100</f>
        <v>164.02125983849137</v>
      </c>
      <c r="AA215" s="147"/>
      <c r="AB215" s="147"/>
      <c r="AD215" s="166"/>
      <c r="AE215" s="166"/>
      <c r="AF215" s="166"/>
      <c r="AG215" s="166"/>
      <c r="AH215" s="166"/>
      <c r="AI215" s="166"/>
      <c r="AJ215" s="166"/>
      <c r="AK215" s="166"/>
      <c r="AL215" s="166"/>
      <c r="AM215" s="166"/>
      <c r="AN215" s="166"/>
      <c r="AO215" s="166"/>
    </row>
    <row r="216" spans="1:41" s="38" customFormat="1">
      <c r="A216" s="49" t="s">
        <v>136</v>
      </c>
      <c r="B216" s="49"/>
      <c r="C216" s="49"/>
      <c r="D216" s="49"/>
      <c r="E216" s="49"/>
      <c r="F216" s="18"/>
      <c r="G216" s="115"/>
      <c r="H216" s="34">
        <f t="shared" si="104"/>
        <v>15</v>
      </c>
      <c r="I216" s="38" t="str">
        <f t="shared" si="105"/>
        <v>Krompir pozni</v>
      </c>
      <c r="J216" s="17" t="str">
        <f t="shared" ref="J216" si="110">+J179</f>
        <v>davek_a</v>
      </c>
      <c r="K216" s="18"/>
      <c r="L216" s="43"/>
      <c r="M216" s="214"/>
      <c r="N216" s="43"/>
      <c r="O216" s="35">
        <v>0</v>
      </c>
      <c r="P216" s="43"/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222"/>
      <c r="X216" s="147"/>
      <c r="Y216" s="147"/>
      <c r="Z216" s="147"/>
      <c r="AA216" s="147"/>
      <c r="AB216" s="147"/>
      <c r="AD216" s="166"/>
      <c r="AE216" s="166"/>
      <c r="AF216" s="166"/>
      <c r="AG216" s="166"/>
      <c r="AH216" s="166"/>
      <c r="AI216" s="166"/>
      <c r="AJ216" s="166"/>
      <c r="AK216" s="166"/>
      <c r="AL216" s="166"/>
      <c r="AM216" s="166"/>
      <c r="AN216" s="166"/>
      <c r="AO216" s="166"/>
    </row>
    <row r="217" spans="1:41" s="44" customFormat="1">
      <c r="A217" s="18" t="s">
        <v>92</v>
      </c>
      <c r="B217" s="49"/>
      <c r="C217" s="49"/>
      <c r="D217" s="49"/>
      <c r="E217" s="49"/>
      <c r="F217" s="18"/>
      <c r="G217" s="115"/>
      <c r="H217" s="34">
        <f t="shared" si="104"/>
        <v>16</v>
      </c>
      <c r="I217" s="38" t="str">
        <f t="shared" si="105"/>
        <v>Krompir pozni</v>
      </c>
      <c r="J217" s="17" t="str">
        <f t="shared" ref="J217:J222" si="111">+A217</f>
        <v>Pokoj obvezno</v>
      </c>
      <c r="K217" s="18"/>
      <c r="L217" s="43"/>
      <c r="M217" s="214"/>
      <c r="N217" s="43"/>
      <c r="O217" s="35">
        <v>427.65937542121242</v>
      </c>
      <c r="P217" s="43"/>
      <c r="Q217" s="35">
        <v>491.13415694979051</v>
      </c>
      <c r="R217" s="35">
        <v>427.65937542121242</v>
      </c>
      <c r="S217" s="35">
        <v>362.76599492494591</v>
      </c>
      <c r="T217" s="35">
        <v>329.44818983198445</v>
      </c>
      <c r="U217" s="35">
        <v>386.50136549539991</v>
      </c>
      <c r="V217" s="35">
        <v>437.52570970046423</v>
      </c>
      <c r="W217" s="32"/>
      <c r="X217" s="147"/>
      <c r="Y217" s="147"/>
      <c r="Z217" s="147"/>
      <c r="AA217" s="147"/>
      <c r="AB217" s="147"/>
      <c r="AD217" s="166"/>
      <c r="AE217" s="166"/>
      <c r="AF217" s="166"/>
      <c r="AG217" s="166"/>
      <c r="AH217" s="166"/>
      <c r="AI217" s="166"/>
      <c r="AJ217" s="166"/>
      <c r="AK217" s="166"/>
      <c r="AL217" s="166"/>
      <c r="AM217" s="166"/>
      <c r="AN217" s="166"/>
      <c r="AO217" s="166"/>
    </row>
    <row r="218" spans="1:41" s="44" customFormat="1">
      <c r="A218" s="18" t="s">
        <v>91</v>
      </c>
      <c r="B218" s="49"/>
      <c r="C218" s="49"/>
      <c r="D218" s="49"/>
      <c r="E218" s="49"/>
      <c r="F218" s="18"/>
      <c r="G218" s="38"/>
      <c r="H218" s="34">
        <f t="shared" si="104"/>
        <v>17</v>
      </c>
      <c r="I218" s="38" t="str">
        <f t="shared" si="105"/>
        <v>Krompir pozni</v>
      </c>
      <c r="J218" s="17" t="str">
        <f t="shared" si="111"/>
        <v>Zdrav obvezno</v>
      </c>
      <c r="K218" s="18"/>
      <c r="L218" s="42"/>
      <c r="M218" s="219"/>
      <c r="N218" s="42"/>
      <c r="O218" s="35">
        <v>250.80153048895616</v>
      </c>
      <c r="P218" s="42"/>
      <c r="Q218" s="35">
        <v>288.02641849507063</v>
      </c>
      <c r="R218" s="35">
        <v>250.80153048895616</v>
      </c>
      <c r="S218" s="35">
        <v>212.74470283017797</v>
      </c>
      <c r="T218" s="35">
        <v>193.20542229501535</v>
      </c>
      <c r="U218" s="35">
        <v>226.66434918407643</v>
      </c>
      <c r="V218" s="35">
        <v>256.58765814046575</v>
      </c>
      <c r="W218" s="32"/>
      <c r="X218" s="147"/>
      <c r="Y218" s="147"/>
      <c r="Z218" s="147"/>
      <c r="AA218" s="147"/>
      <c r="AB218" s="147"/>
      <c r="AD218" s="166"/>
      <c r="AE218" s="166"/>
      <c r="AF218" s="166"/>
      <c r="AG218" s="166"/>
      <c r="AH218" s="166"/>
      <c r="AI218" s="166"/>
      <c r="AJ218" s="166"/>
      <c r="AK218" s="166"/>
      <c r="AL218" s="166"/>
      <c r="AM218" s="166"/>
      <c r="AN218" s="166"/>
      <c r="AO218" s="166"/>
    </row>
    <row r="219" spans="1:41" s="38" customFormat="1">
      <c r="A219" s="18" t="s">
        <v>90</v>
      </c>
      <c r="B219" s="49"/>
      <c r="C219" s="49"/>
      <c r="D219" s="49"/>
      <c r="E219" s="49"/>
      <c r="H219" s="34">
        <f t="shared" si="104"/>
        <v>18</v>
      </c>
      <c r="I219" s="38" t="str">
        <f t="shared" si="105"/>
        <v>Krompir pozni</v>
      </c>
      <c r="J219" s="17" t="str">
        <f t="shared" si="111"/>
        <v>Pokoj dodatno</v>
      </c>
      <c r="K219" s="18"/>
      <c r="L219" s="43"/>
      <c r="M219" s="214"/>
      <c r="N219" s="43"/>
      <c r="O219" s="35">
        <v>341.43386494848613</v>
      </c>
      <c r="P219" s="43"/>
      <c r="Q219" s="35">
        <v>392.11073824915326</v>
      </c>
      <c r="R219" s="35">
        <v>341.43386494848613</v>
      </c>
      <c r="S219" s="35">
        <v>289.62441334792163</v>
      </c>
      <c r="T219" s="35">
        <v>263.02420856277956</v>
      </c>
      <c r="U219" s="35">
        <v>308.57421259381158</v>
      </c>
      <c r="V219" s="35">
        <v>349.31092982639456</v>
      </c>
      <c r="W219" s="201"/>
      <c r="X219" s="147"/>
      <c r="Y219" s="147"/>
      <c r="Z219" s="147"/>
      <c r="AA219" s="147"/>
      <c r="AB219" s="147"/>
      <c r="AD219" s="166"/>
      <c r="AE219" s="166"/>
      <c r="AF219" s="166"/>
      <c r="AG219" s="166"/>
      <c r="AH219" s="166"/>
      <c r="AI219" s="166"/>
      <c r="AJ219" s="166"/>
      <c r="AK219" s="166"/>
      <c r="AL219" s="166"/>
      <c r="AM219" s="166"/>
      <c r="AN219" s="166"/>
      <c r="AO219" s="166"/>
    </row>
    <row r="220" spans="1:41" s="44" customFormat="1">
      <c r="A220" s="18" t="s">
        <v>89</v>
      </c>
      <c r="B220" s="49"/>
      <c r="C220" s="49"/>
      <c r="D220" s="49"/>
      <c r="E220" s="49"/>
      <c r="F220" s="38"/>
      <c r="G220" s="38"/>
      <c r="H220" s="34">
        <f t="shared" si="104"/>
        <v>19</v>
      </c>
      <c r="I220" s="38" t="str">
        <f t="shared" si="105"/>
        <v>Krompir pozni</v>
      </c>
      <c r="J220" s="17" t="str">
        <f t="shared" si="111"/>
        <v>Zdrav dodatno</v>
      </c>
      <c r="K220" s="18"/>
      <c r="L220" s="42"/>
      <c r="M220" s="219"/>
      <c r="N220" s="42"/>
      <c r="O220" s="35">
        <v>200.23444079882182</v>
      </c>
      <c r="P220" s="42"/>
      <c r="Q220" s="35">
        <v>229.95397488289044</v>
      </c>
      <c r="R220" s="35">
        <v>200.23444079882182</v>
      </c>
      <c r="S220" s="35">
        <v>169.85070434403914</v>
      </c>
      <c r="T220" s="35">
        <v>154.25097134423646</v>
      </c>
      <c r="U220" s="35">
        <v>180.96384467598364</v>
      </c>
      <c r="V220" s="35">
        <v>204.85395820141457</v>
      </c>
      <c r="W220" s="32"/>
      <c r="X220" s="147"/>
      <c r="Y220" s="147"/>
      <c r="Z220" s="147"/>
      <c r="AA220" s="147"/>
      <c r="AB220" s="147"/>
      <c r="AD220" s="166"/>
      <c r="AE220" s="166"/>
      <c r="AF220" s="166"/>
      <c r="AG220" s="166"/>
      <c r="AH220" s="166"/>
      <c r="AI220" s="166"/>
      <c r="AJ220" s="166"/>
      <c r="AK220" s="166"/>
      <c r="AL220" s="166"/>
      <c r="AM220" s="166"/>
      <c r="AN220" s="166"/>
      <c r="AO220" s="166"/>
    </row>
    <row r="221" spans="1:41" s="38" customFormat="1">
      <c r="A221" s="18" t="s">
        <v>88</v>
      </c>
      <c r="B221" s="49"/>
      <c r="C221" s="49"/>
      <c r="D221" s="49"/>
      <c r="E221" s="49"/>
      <c r="H221" s="34">
        <f t="shared" si="104"/>
        <v>20</v>
      </c>
      <c r="I221" s="38" t="str">
        <f t="shared" si="105"/>
        <v>Krompir pozni</v>
      </c>
      <c r="J221" s="17" t="str">
        <f t="shared" si="111"/>
        <v>Regresi</v>
      </c>
      <c r="K221" s="18"/>
      <c r="L221" s="43"/>
      <c r="M221" s="214"/>
      <c r="N221" s="43"/>
      <c r="O221" s="35">
        <v>1026.1802942513323</v>
      </c>
      <c r="P221" s="43"/>
      <c r="Q221" s="35">
        <v>1178.4897576470096</v>
      </c>
      <c r="R221" s="35">
        <v>1026.1802942513323</v>
      </c>
      <c r="S221" s="35">
        <v>870.46686407799893</v>
      </c>
      <c r="T221" s="35">
        <v>790.51988524600415</v>
      </c>
      <c r="U221" s="35">
        <v>927.42053084179486</v>
      </c>
      <c r="V221" s="35">
        <v>1049.8548315016678</v>
      </c>
      <c r="W221" s="201"/>
      <c r="X221" s="147"/>
      <c r="Y221" s="147"/>
      <c r="Z221" s="147"/>
      <c r="AA221" s="147"/>
      <c r="AB221" s="147"/>
      <c r="AD221" s="166"/>
      <c r="AE221" s="166"/>
      <c r="AF221" s="166"/>
      <c r="AG221" s="166"/>
      <c r="AH221" s="166"/>
      <c r="AI221" s="166"/>
      <c r="AJ221" s="166"/>
      <c r="AK221" s="166"/>
      <c r="AL221" s="166"/>
      <c r="AM221" s="166"/>
      <c r="AN221" s="166"/>
      <c r="AO221" s="166"/>
    </row>
    <row r="222" spans="1:41" s="38" customFormat="1">
      <c r="A222" s="49" t="s">
        <v>13</v>
      </c>
      <c r="B222" s="49"/>
      <c r="C222" s="49"/>
      <c r="D222" s="49"/>
      <c r="E222" s="49"/>
      <c r="H222" s="34">
        <f t="shared" si="104"/>
        <v>21</v>
      </c>
      <c r="I222" s="38" t="str">
        <f t="shared" si="105"/>
        <v>Krompir pozni</v>
      </c>
      <c r="J222" s="17" t="str">
        <f t="shared" si="111"/>
        <v>SUM element</v>
      </c>
      <c r="K222" s="18"/>
      <c r="L222" s="62"/>
      <c r="M222" s="167"/>
      <c r="N222" s="62"/>
      <c r="O222" s="159">
        <v>12250.738697396951</v>
      </c>
      <c r="P222" s="170"/>
      <c r="Q222" s="159">
        <v>13250.836694227593</v>
      </c>
      <c r="R222" s="159">
        <v>12250.738697396951</v>
      </c>
      <c r="S222" s="159">
        <v>11187.42539704282</v>
      </c>
      <c r="T222" s="159">
        <v>10577.543715045264</v>
      </c>
      <c r="U222" s="159">
        <v>11629.096707676286</v>
      </c>
      <c r="V222" s="159">
        <v>12432.458552626877</v>
      </c>
      <c r="W222" s="201"/>
      <c r="X222" s="147"/>
      <c r="Y222" s="147"/>
      <c r="Z222" s="147"/>
      <c r="AA222" s="147"/>
      <c r="AB222" s="147"/>
      <c r="AD222" s="166"/>
      <c r="AE222" s="166"/>
      <c r="AF222" s="166"/>
      <c r="AG222" s="166"/>
      <c r="AH222" s="166"/>
      <c r="AI222" s="166"/>
      <c r="AJ222" s="166"/>
      <c r="AK222" s="166"/>
      <c r="AL222" s="166"/>
      <c r="AM222" s="166"/>
      <c r="AN222" s="166"/>
      <c r="AO222" s="166"/>
    </row>
    <row r="223" spans="1:41" s="38" customFormat="1">
      <c r="A223" s="49" t="s">
        <v>3</v>
      </c>
      <c r="B223" s="49" t="s">
        <v>0</v>
      </c>
      <c r="C223" s="49" t="s">
        <v>2</v>
      </c>
      <c r="D223" s="49" t="s">
        <v>1</v>
      </c>
      <c r="E223" s="49" t="s">
        <v>0</v>
      </c>
      <c r="H223" s="34">
        <f t="shared" si="104"/>
        <v>22</v>
      </c>
      <c r="I223" s="38" t="str">
        <f t="shared" si="105"/>
        <v>Krompir pozni</v>
      </c>
      <c r="J223" s="106" t="str">
        <f t="shared" ref="J223" si="112">+J186</f>
        <v>Subvencije</v>
      </c>
      <c r="K223" s="18"/>
      <c r="L223" s="62"/>
      <c r="M223" s="167"/>
      <c r="N223" s="62"/>
      <c r="O223" s="159">
        <v>23.94</v>
      </c>
      <c r="P223" s="43"/>
      <c r="Q223" s="159">
        <v>23.94</v>
      </c>
      <c r="R223" s="159">
        <v>23.94</v>
      </c>
      <c r="S223" s="159">
        <v>23.94</v>
      </c>
      <c r="T223" s="159">
        <v>23.94</v>
      </c>
      <c r="U223" s="159">
        <v>23.94</v>
      </c>
      <c r="V223" s="159">
        <v>23.94</v>
      </c>
      <c r="W223" s="201"/>
      <c r="X223" s="147"/>
      <c r="Y223" s="147"/>
      <c r="Z223" s="147"/>
      <c r="AA223" s="147"/>
      <c r="AB223" s="147"/>
      <c r="AD223" s="166"/>
      <c r="AE223" s="166"/>
      <c r="AF223" s="166"/>
      <c r="AG223" s="166"/>
      <c r="AH223" s="166"/>
      <c r="AI223" s="166"/>
      <c r="AJ223" s="166"/>
      <c r="AK223" s="166"/>
      <c r="AL223" s="166"/>
      <c r="AM223" s="166"/>
      <c r="AN223" s="166"/>
      <c r="AO223" s="166"/>
    </row>
    <row r="224" spans="1:41" s="38" customFormat="1" ht="13.5" customHeight="1">
      <c r="A224" s="112" t="s">
        <v>14</v>
      </c>
      <c r="B224" s="49"/>
      <c r="C224" s="49"/>
      <c r="D224" s="49"/>
      <c r="E224" s="49"/>
      <c r="H224" s="34">
        <f t="shared" si="104"/>
        <v>23</v>
      </c>
      <c r="I224" s="38" t="str">
        <f t="shared" si="105"/>
        <v>Krompir pozni</v>
      </c>
      <c r="J224" s="198" t="str">
        <f>+J187</f>
        <v>Vrednost pridelave_tržna</v>
      </c>
      <c r="K224" s="18"/>
      <c r="L224" s="62"/>
      <c r="M224" s="167"/>
      <c r="N224" s="62"/>
      <c r="O224" s="209">
        <v>12682</v>
      </c>
      <c r="P224" s="210"/>
      <c r="Q224" s="209">
        <v>15852.5</v>
      </c>
      <c r="R224" s="209">
        <v>12682</v>
      </c>
      <c r="S224" s="209">
        <v>9511.5</v>
      </c>
      <c r="T224" s="209">
        <v>7926.25</v>
      </c>
      <c r="U224" s="209">
        <v>9511.5</v>
      </c>
      <c r="V224" s="209">
        <v>12682</v>
      </c>
      <c r="W224" s="201"/>
      <c r="X224" s="147"/>
      <c r="Y224" s="147"/>
      <c r="Z224" s="147"/>
      <c r="AA224" s="147"/>
      <c r="AB224" s="147"/>
      <c r="AD224" s="166"/>
      <c r="AE224" s="166"/>
      <c r="AF224" s="166"/>
      <c r="AG224" s="166"/>
      <c r="AH224" s="166"/>
      <c r="AI224" s="166"/>
      <c r="AJ224" s="166"/>
      <c r="AK224" s="166"/>
      <c r="AL224" s="166"/>
      <c r="AM224" s="166"/>
      <c r="AN224" s="166"/>
      <c r="AO224" s="166"/>
    </row>
    <row r="225" spans="1:41" s="45" customFormat="1">
      <c r="A225" s="49"/>
      <c r="B225" s="49"/>
      <c r="C225" s="49"/>
      <c r="D225" s="49"/>
      <c r="E225" s="49"/>
      <c r="F225" s="38"/>
      <c r="G225" s="117"/>
      <c r="H225" s="34">
        <f t="shared" si="104"/>
        <v>24</v>
      </c>
      <c r="I225" s="38" t="str">
        <f t="shared" si="105"/>
        <v>Krompir pozni</v>
      </c>
      <c r="J225" s="21"/>
      <c r="K225" s="46"/>
      <c r="L225" s="185"/>
      <c r="M225" s="186"/>
      <c r="N225" s="179"/>
      <c r="O225" s="187">
        <f>+O210-O223-O211</f>
        <v>11492.39869739695</v>
      </c>
      <c r="P225" s="62" t="s">
        <v>87</v>
      </c>
      <c r="Q225" s="187">
        <f>+Q210-Q223-Q211</f>
        <v>12308.896694227598</v>
      </c>
      <c r="R225" s="187">
        <f t="shared" ref="R225:V225" si="113">+R210-R223-R211</f>
        <v>11492.39869739695</v>
      </c>
      <c r="S225" s="187">
        <f t="shared" si="113"/>
        <v>10612.685397042815</v>
      </c>
      <c r="T225" s="187">
        <f t="shared" si="113"/>
        <v>10094.603715045261</v>
      </c>
      <c r="U225" s="187">
        <f t="shared" si="113"/>
        <v>11054.356707676285</v>
      </c>
      <c r="V225" s="187">
        <f t="shared" si="113"/>
        <v>11674.118552626876</v>
      </c>
      <c r="W225" s="201"/>
      <c r="X225" s="147"/>
      <c r="Y225" s="147"/>
      <c r="Z225" s="147"/>
      <c r="AA225" s="147"/>
      <c r="AB225" s="147"/>
      <c r="AD225" s="166"/>
      <c r="AE225" s="166"/>
      <c r="AF225" s="166"/>
      <c r="AG225" s="166"/>
      <c r="AH225" s="166"/>
      <c r="AI225" s="166"/>
      <c r="AJ225" s="166"/>
      <c r="AK225" s="166"/>
      <c r="AL225" s="166"/>
      <c r="AM225" s="166"/>
      <c r="AN225" s="166"/>
      <c r="AO225" s="166"/>
    </row>
    <row r="226" spans="1:41" s="45" customFormat="1">
      <c r="A226" s="49"/>
      <c r="B226" s="49"/>
      <c r="C226" s="49"/>
      <c r="D226" s="49"/>
      <c r="E226" s="49"/>
      <c r="F226" s="38"/>
      <c r="G226" s="118"/>
      <c r="H226" s="34">
        <f t="shared" si="104"/>
        <v>25</v>
      </c>
      <c r="I226" s="38" t="str">
        <f t="shared" si="105"/>
        <v>Krompir pozni</v>
      </c>
      <c r="J226" s="21"/>
      <c r="K226" s="46"/>
      <c r="L226" s="185"/>
      <c r="M226" s="186"/>
      <c r="N226" s="179"/>
      <c r="O226" s="187">
        <f>O225-O217-O218</f>
        <v>10813.937791486782</v>
      </c>
      <c r="P226" s="62" t="s">
        <v>86</v>
      </c>
      <c r="Q226" s="187">
        <f>Q225-Q217-Q218</f>
        <v>11529.736118782737</v>
      </c>
      <c r="R226" s="187">
        <f t="shared" ref="R226" si="114">R225-R217-R218</f>
        <v>10813.937791486782</v>
      </c>
      <c r="S226" s="187">
        <f t="shared" ref="S226" si="115">S225-S217-S218</f>
        <v>10037.174699287691</v>
      </c>
      <c r="T226" s="187">
        <f t="shared" ref="T226" si="116">T225-T217-T218</f>
        <v>9571.9501029182611</v>
      </c>
      <c r="U226" s="187">
        <f t="shared" ref="U226" si="117">U225-U217-U218</f>
        <v>10441.190992996808</v>
      </c>
      <c r="V226" s="187">
        <f t="shared" ref="V226" si="118">V225-V217-V218</f>
        <v>10980.005184785945</v>
      </c>
      <c r="W226" s="211"/>
      <c r="X226" s="179"/>
      <c r="Y226" s="179"/>
      <c r="Z226" s="179"/>
      <c r="AA226" s="179"/>
      <c r="AB226" s="179"/>
      <c r="AD226" s="166"/>
      <c r="AE226" s="166"/>
      <c r="AF226" s="166"/>
      <c r="AG226" s="166"/>
      <c r="AH226" s="166"/>
      <c r="AI226" s="166"/>
      <c r="AJ226" s="166"/>
      <c r="AK226" s="166"/>
      <c r="AL226" s="166"/>
      <c r="AM226" s="166"/>
      <c r="AN226" s="166"/>
      <c r="AO226" s="166"/>
    </row>
    <row r="227" spans="1:41" s="44" customFormat="1">
      <c r="A227" s="49"/>
      <c r="B227" s="49"/>
      <c r="C227" s="49"/>
      <c r="D227" s="49"/>
      <c r="E227" s="49"/>
      <c r="F227" s="38"/>
      <c r="H227" s="34">
        <f t="shared" si="104"/>
        <v>26</v>
      </c>
      <c r="I227" s="38" t="str">
        <f t="shared" si="105"/>
        <v>Krompir pozni</v>
      </c>
      <c r="J227" s="17"/>
      <c r="K227" s="18"/>
      <c r="L227" s="164"/>
      <c r="M227" s="165"/>
      <c r="N227" s="179"/>
      <c r="O227" s="187">
        <f>O226-O219-O220-O221</f>
        <v>9246.0891914881431</v>
      </c>
      <c r="P227" s="62" t="s">
        <v>85</v>
      </c>
      <c r="Q227" s="187">
        <f>Q226-Q219-Q220-Q221</f>
        <v>9729.1816480036832</v>
      </c>
      <c r="R227" s="187">
        <f t="shared" ref="R227" si="119">R226-R219-R220-R221</f>
        <v>9246.0891914881431</v>
      </c>
      <c r="S227" s="187">
        <f t="shared" ref="S227" si="120">S226-S219-S220-S221</f>
        <v>8707.2327175177325</v>
      </c>
      <c r="T227" s="187">
        <f t="shared" ref="T227" si="121">T226-T219-T220-T221</f>
        <v>8364.155037765242</v>
      </c>
      <c r="U227" s="187">
        <f t="shared" ref="U227" si="122">U226-U219-U220-U221</f>
        <v>9024.232404885217</v>
      </c>
      <c r="V227" s="187">
        <f t="shared" ref="V227" si="123">V226-V219-V220-V221</f>
        <v>9375.9854652564682</v>
      </c>
      <c r="W227" s="211"/>
      <c r="X227" s="179"/>
      <c r="Y227" s="179"/>
      <c r="Z227" s="179"/>
      <c r="AA227" s="179"/>
      <c r="AB227" s="179"/>
      <c r="AD227" s="166"/>
      <c r="AE227" s="166"/>
      <c r="AF227" s="166"/>
      <c r="AG227" s="166"/>
      <c r="AH227" s="166"/>
      <c r="AI227" s="166"/>
      <c r="AJ227" s="166"/>
      <c r="AK227" s="166"/>
      <c r="AL227" s="166"/>
      <c r="AM227" s="166"/>
      <c r="AN227" s="166"/>
      <c r="AO227" s="166"/>
    </row>
    <row r="228" spans="1:41" s="38" customFormat="1">
      <c r="A228" s="49"/>
      <c r="B228" s="49"/>
      <c r="C228" s="49"/>
      <c r="D228" s="49"/>
      <c r="E228" s="49"/>
      <c r="H228" s="34">
        <f t="shared" si="104"/>
        <v>27</v>
      </c>
      <c r="I228" s="38" t="str">
        <f t="shared" si="105"/>
        <v>Krompir pozni</v>
      </c>
      <c r="J228" s="18"/>
      <c r="K228" s="18"/>
      <c r="L228" s="62"/>
      <c r="M228" s="167"/>
      <c r="N228" s="62"/>
      <c r="O228" s="189"/>
      <c r="P228" s="184"/>
      <c r="Q228" s="189"/>
      <c r="R228" s="189"/>
      <c r="S228" s="189"/>
      <c r="T228" s="189"/>
      <c r="U228" s="189"/>
      <c r="V228" s="189"/>
      <c r="W228" s="211"/>
      <c r="X228" s="164"/>
      <c r="Y228" s="164"/>
      <c r="Z228" s="164"/>
      <c r="AA228" s="164"/>
      <c r="AB228" s="164"/>
      <c r="AD228" s="166"/>
      <c r="AE228" s="166"/>
      <c r="AF228" s="166"/>
      <c r="AG228" s="166"/>
      <c r="AH228" s="166"/>
      <c r="AI228" s="166"/>
      <c r="AJ228" s="166"/>
      <c r="AK228" s="166"/>
      <c r="AL228" s="166"/>
      <c r="AM228" s="166"/>
      <c r="AN228" s="166"/>
      <c r="AO228" s="166"/>
    </row>
    <row r="229" spans="1:41" s="38" customFormat="1">
      <c r="A229" s="49"/>
      <c r="B229" s="49"/>
      <c r="C229" s="49"/>
      <c r="D229" s="49"/>
      <c r="E229" s="49"/>
      <c r="H229" s="34">
        <f t="shared" si="104"/>
        <v>28</v>
      </c>
      <c r="I229" s="38" t="str">
        <f t="shared" si="105"/>
        <v>Krompir pozni</v>
      </c>
      <c r="J229" s="17"/>
      <c r="K229" s="18"/>
      <c r="L229" s="62"/>
      <c r="M229" s="167"/>
      <c r="N229" s="62"/>
      <c r="O229" s="192" t="str">
        <f>+O206&amp;";"&amp;O208</f>
        <v>40000;1</v>
      </c>
      <c r="P229" s="212"/>
      <c r="Q229" s="192" t="str">
        <f>+Q206&amp;";"&amp;Q208</f>
        <v>50000;1</v>
      </c>
      <c r="R229" s="192" t="str">
        <f t="shared" ref="R229:V229" si="124">+R206&amp;";"&amp;R208</f>
        <v>40000;1</v>
      </c>
      <c r="S229" s="192" t="str">
        <f t="shared" si="124"/>
        <v>30000;1</v>
      </c>
      <c r="T229" s="192" t="str">
        <f t="shared" si="124"/>
        <v>25000;1</v>
      </c>
      <c r="U229" s="192" t="str">
        <f t="shared" si="124"/>
        <v>30000;0,2</v>
      </c>
      <c r="V229" s="192" t="str">
        <f t="shared" si="124"/>
        <v>40000;0,5</v>
      </c>
      <c r="W229" s="32"/>
      <c r="X229" s="62"/>
      <c r="Y229" s="62"/>
      <c r="Z229" s="62"/>
      <c r="AA229" s="62"/>
      <c r="AB229" s="62"/>
      <c r="AD229" s="166"/>
      <c r="AE229" s="166"/>
      <c r="AF229" s="166"/>
      <c r="AG229" s="166"/>
      <c r="AH229" s="166"/>
      <c r="AI229" s="166"/>
      <c r="AJ229" s="166"/>
      <c r="AK229" s="166"/>
      <c r="AL229" s="166"/>
      <c r="AM229" s="166"/>
      <c r="AN229" s="166"/>
      <c r="AO229" s="166"/>
    </row>
    <row r="230" spans="1:41" s="38" customFormat="1" ht="12.75" customHeight="1">
      <c r="A230" s="49"/>
      <c r="B230" s="49"/>
      <c r="C230" s="49"/>
      <c r="D230" s="49"/>
      <c r="E230" s="49"/>
      <c r="H230" s="34">
        <f t="shared" si="104"/>
        <v>29</v>
      </c>
      <c r="I230" s="38" t="str">
        <f t="shared" si="105"/>
        <v>Krompir pozni</v>
      </c>
      <c r="J230" s="18"/>
      <c r="K230" s="18"/>
      <c r="L230" s="62"/>
      <c r="M230" s="167"/>
      <c r="N230" s="62"/>
      <c r="O230" s="194">
        <f>+O225/O206*1000</f>
        <v>287.30996743492375</v>
      </c>
      <c r="P230" s="180" t="s">
        <v>84</v>
      </c>
      <c r="Q230" s="194">
        <f>+Q225/Q206*1000</f>
        <v>246.17793388455198</v>
      </c>
      <c r="R230" s="194">
        <f t="shared" ref="R230:V230" si="125">+R225/R206*1000</f>
        <v>287.30996743492375</v>
      </c>
      <c r="S230" s="194">
        <f t="shared" si="125"/>
        <v>353.75617990142717</v>
      </c>
      <c r="T230" s="194">
        <f t="shared" si="125"/>
        <v>403.78414860181044</v>
      </c>
      <c r="U230" s="194">
        <f t="shared" si="125"/>
        <v>368.47855692254285</v>
      </c>
      <c r="V230" s="194">
        <f t="shared" si="125"/>
        <v>291.8529638156719</v>
      </c>
      <c r="W230" s="32"/>
      <c r="X230" s="62"/>
      <c r="Y230" s="62"/>
      <c r="Z230" s="62"/>
      <c r="AA230" s="62"/>
      <c r="AB230" s="62"/>
      <c r="AD230" s="166"/>
      <c r="AE230" s="166"/>
      <c r="AF230" s="166"/>
      <c r="AG230" s="166"/>
      <c r="AH230" s="166"/>
      <c r="AI230" s="166"/>
      <c r="AJ230" s="166"/>
      <c r="AK230" s="166"/>
      <c r="AL230" s="166"/>
      <c r="AM230" s="166"/>
      <c r="AN230" s="166"/>
      <c r="AO230" s="166"/>
    </row>
    <row r="231" spans="1:41" s="38" customFormat="1">
      <c r="A231" s="49"/>
      <c r="B231" s="49"/>
      <c r="C231" s="49"/>
      <c r="D231" s="49"/>
      <c r="E231" s="49"/>
      <c r="H231" s="34">
        <f t="shared" si="104"/>
        <v>30</v>
      </c>
      <c r="I231" s="38" t="str">
        <f t="shared" si="105"/>
        <v>Krompir pozni</v>
      </c>
      <c r="J231" s="18"/>
      <c r="K231" s="18"/>
      <c r="L231" s="62"/>
      <c r="M231" s="167"/>
      <c r="N231" s="62"/>
      <c r="O231" s="194">
        <f>+O230*O226/O225</f>
        <v>270.34844478716957</v>
      </c>
      <c r="P231" s="180" t="s">
        <v>83</v>
      </c>
      <c r="Q231" s="194">
        <f>+Q230*Q226/Q225</f>
        <v>230.59472237565475</v>
      </c>
      <c r="R231" s="194">
        <f t="shared" ref="R231:V231" si="126">+R230*R226/R225</f>
        <v>270.34844478716957</v>
      </c>
      <c r="S231" s="194">
        <f t="shared" si="126"/>
        <v>334.57248997625641</v>
      </c>
      <c r="T231" s="194">
        <f t="shared" si="126"/>
        <v>382.87800411673044</v>
      </c>
      <c r="U231" s="194">
        <f t="shared" si="126"/>
        <v>348.03969976656026</v>
      </c>
      <c r="V231" s="194">
        <f t="shared" si="126"/>
        <v>274.50012961964865</v>
      </c>
      <c r="W231" s="32"/>
      <c r="X231" s="62"/>
      <c r="Y231" s="62"/>
      <c r="Z231" s="62"/>
      <c r="AA231" s="62"/>
      <c r="AB231" s="62"/>
      <c r="AD231" s="166"/>
      <c r="AE231" s="166"/>
      <c r="AF231" s="166"/>
      <c r="AG231" s="166"/>
      <c r="AH231" s="166"/>
      <c r="AI231" s="166"/>
      <c r="AJ231" s="166"/>
      <c r="AK231" s="166"/>
      <c r="AL231" s="166"/>
      <c r="AM231" s="166"/>
      <c r="AN231" s="166"/>
      <c r="AO231" s="166"/>
    </row>
    <row r="232" spans="1:41" s="38" customFormat="1">
      <c r="A232" s="49"/>
      <c r="B232" s="49"/>
      <c r="C232" s="49"/>
      <c r="D232" s="49"/>
      <c r="E232" s="49"/>
      <c r="H232" s="34">
        <f t="shared" si="104"/>
        <v>31</v>
      </c>
      <c r="I232" s="38" t="str">
        <f t="shared" si="105"/>
        <v>Krompir pozni</v>
      </c>
      <c r="J232" s="18"/>
      <c r="K232" s="18"/>
      <c r="L232" s="62"/>
      <c r="M232" s="167"/>
      <c r="N232" s="62"/>
      <c r="O232" s="194">
        <f>+O230*O227/O225</f>
        <v>231.15222978720359</v>
      </c>
      <c r="P232" s="180" t="s">
        <v>82</v>
      </c>
      <c r="Q232" s="194">
        <f>+Q230*Q227/Q225</f>
        <v>194.58363296007366</v>
      </c>
      <c r="R232" s="194">
        <f t="shared" ref="R232:V232" si="127">+R230*R227/R225</f>
        <v>231.15222978720359</v>
      </c>
      <c r="S232" s="194">
        <f t="shared" si="127"/>
        <v>290.2410905839244</v>
      </c>
      <c r="T232" s="194">
        <f t="shared" si="127"/>
        <v>334.56620151060969</v>
      </c>
      <c r="U232" s="194">
        <f t="shared" si="127"/>
        <v>300.80774682950727</v>
      </c>
      <c r="V232" s="194">
        <f t="shared" si="127"/>
        <v>234.39963663141171</v>
      </c>
      <c r="W232" s="32"/>
      <c r="X232" s="62"/>
      <c r="Y232" s="62"/>
      <c r="Z232" s="62"/>
      <c r="AA232" s="62"/>
      <c r="AB232" s="62"/>
      <c r="AD232" s="166"/>
      <c r="AE232" s="166"/>
      <c r="AF232" s="166"/>
      <c r="AG232" s="166"/>
      <c r="AH232" s="166"/>
      <c r="AI232" s="166"/>
      <c r="AJ232" s="166"/>
      <c r="AK232" s="166"/>
      <c r="AL232" s="166"/>
      <c r="AM232" s="166"/>
      <c r="AN232" s="166"/>
      <c r="AO232" s="166"/>
    </row>
    <row r="233" spans="1:41" s="38" customFormat="1">
      <c r="A233" s="49"/>
      <c r="B233" s="49"/>
      <c r="C233" s="49"/>
      <c r="D233" s="49"/>
      <c r="E233" s="49"/>
      <c r="H233" s="34">
        <f t="shared" si="104"/>
        <v>32</v>
      </c>
      <c r="I233" s="38" t="str">
        <f t="shared" si="105"/>
        <v>Krompir pozni</v>
      </c>
      <c r="J233" s="18"/>
      <c r="K233" s="18"/>
      <c r="L233" s="62"/>
      <c r="M233" s="167"/>
      <c r="N233" s="62"/>
      <c r="O233" s="194">
        <f>+O230-O232</f>
        <v>56.157737647720154</v>
      </c>
      <c r="P233" s="180" t="s">
        <v>81</v>
      </c>
      <c r="Q233" s="194">
        <f>+Q230-Q232</f>
        <v>51.594300924478318</v>
      </c>
      <c r="R233" s="194">
        <f t="shared" ref="R233:V233" si="128">+R230-R232</f>
        <v>56.157737647720154</v>
      </c>
      <c r="S233" s="194">
        <f t="shared" si="128"/>
        <v>63.51508931750277</v>
      </c>
      <c r="T233" s="194">
        <f t="shared" si="128"/>
        <v>69.217947091200756</v>
      </c>
      <c r="U233" s="194">
        <f t="shared" si="128"/>
        <v>67.670810093035584</v>
      </c>
      <c r="V233" s="194">
        <f t="shared" si="128"/>
        <v>57.453327184260189</v>
      </c>
      <c r="W233" s="32"/>
      <c r="X233" s="62"/>
      <c r="Y233" s="62"/>
      <c r="Z233" s="62"/>
      <c r="AA233" s="62"/>
      <c r="AB233" s="62"/>
      <c r="AD233" s="166"/>
      <c r="AE233" s="166"/>
      <c r="AF233" s="166"/>
      <c r="AG233" s="166"/>
      <c r="AH233" s="166"/>
      <c r="AI233" s="166"/>
      <c r="AJ233" s="166"/>
      <c r="AK233" s="166"/>
      <c r="AL233" s="166"/>
      <c r="AM233" s="166"/>
      <c r="AN233" s="166"/>
      <c r="AO233" s="166"/>
    </row>
    <row r="234" spans="1:41" s="44" customFormat="1">
      <c r="A234" s="49"/>
      <c r="B234" s="49"/>
      <c r="C234" s="49"/>
      <c r="D234" s="49"/>
      <c r="E234" s="49"/>
      <c r="F234" s="38"/>
      <c r="H234" s="34">
        <f t="shared" si="104"/>
        <v>33</v>
      </c>
      <c r="I234" s="38" t="str">
        <f t="shared" si="105"/>
        <v>Krompir pozni</v>
      </c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32"/>
      <c r="X234" s="62"/>
      <c r="Y234" s="62"/>
      <c r="Z234" s="62"/>
      <c r="AA234" s="62"/>
      <c r="AB234" s="62"/>
      <c r="AD234" s="166"/>
      <c r="AE234" s="166"/>
      <c r="AF234" s="166"/>
      <c r="AG234" s="166"/>
      <c r="AH234" s="166"/>
      <c r="AI234" s="166"/>
      <c r="AJ234" s="166"/>
      <c r="AK234" s="166"/>
      <c r="AL234" s="166"/>
      <c r="AM234" s="166"/>
      <c r="AN234" s="166"/>
      <c r="AO234" s="166"/>
    </row>
    <row r="235" spans="1:41" s="38" customFormat="1">
      <c r="A235" s="49" t="s">
        <v>15</v>
      </c>
      <c r="B235" s="49"/>
      <c r="C235" s="49"/>
      <c r="D235" s="49"/>
      <c r="E235" s="49"/>
      <c r="F235" s="18">
        <v>1000</v>
      </c>
      <c r="H235" s="34">
        <f t="shared" si="104"/>
        <v>34</v>
      </c>
      <c r="I235" s="38" t="str">
        <f t="shared" si="105"/>
        <v>Krompir pozni</v>
      </c>
      <c r="J235" s="196" t="s">
        <v>80</v>
      </c>
      <c r="K235" s="18"/>
      <c r="L235" s="62"/>
      <c r="M235" s="167"/>
      <c r="N235" s="213"/>
      <c r="O235" s="197">
        <v>317.05</v>
      </c>
      <c r="P235" s="196" t="str">
        <f>P236</f>
        <v>Odkupna cena; vir podatkov SURS; preračuni KIS</v>
      </c>
      <c r="Q235" s="197">
        <v>317.05</v>
      </c>
      <c r="R235" s="197">
        <v>317.05</v>
      </c>
      <c r="S235" s="197">
        <v>317.05</v>
      </c>
      <c r="T235" s="197">
        <v>317.05</v>
      </c>
      <c r="U235" s="197">
        <v>317.05</v>
      </c>
      <c r="V235" s="197">
        <v>317.05</v>
      </c>
      <c r="W235" s="201"/>
      <c r="X235" s="164"/>
      <c r="Y235" s="164"/>
      <c r="Z235" s="164"/>
      <c r="AA235" s="164"/>
      <c r="AB235" s="164"/>
      <c r="AD235" s="166"/>
      <c r="AE235" s="166"/>
      <c r="AF235" s="166"/>
      <c r="AG235" s="166"/>
      <c r="AH235" s="166"/>
      <c r="AI235" s="166"/>
      <c r="AJ235" s="166"/>
      <c r="AK235" s="166"/>
      <c r="AL235" s="166"/>
      <c r="AM235" s="166"/>
      <c r="AN235" s="166"/>
      <c r="AO235" s="166"/>
    </row>
    <row r="236" spans="1:41" s="44" customFormat="1">
      <c r="A236" s="49"/>
      <c r="B236" s="49"/>
      <c r="C236" s="49"/>
      <c r="D236" s="49"/>
      <c r="E236" s="49"/>
      <c r="F236" s="38"/>
      <c r="H236" s="34">
        <f t="shared" si="104"/>
        <v>35</v>
      </c>
      <c r="I236" s="38" t="str">
        <f t="shared" si="105"/>
        <v>Krompir pozni</v>
      </c>
      <c r="J236" s="198" t="str">
        <f>+J199</f>
        <v>Bruto dodana vrednost</v>
      </c>
      <c r="K236" s="18"/>
      <c r="L236" s="164"/>
      <c r="M236" s="165"/>
      <c r="N236" s="164"/>
      <c r="O236" s="199">
        <f>O224+O223+O211-O209</f>
        <v>6810.1244897355919</v>
      </c>
      <c r="P236" s="195" t="s">
        <v>80</v>
      </c>
      <c r="Q236" s="199">
        <f t="shared" ref="Q236:V236" si="129">Q224+Q223+Q211-Q209</f>
        <v>9949.4165629837844</v>
      </c>
      <c r="R236" s="199">
        <f t="shared" si="129"/>
        <v>6810.1244897355919</v>
      </c>
      <c r="S236" s="199">
        <f t="shared" si="129"/>
        <v>3710.3428943658309</v>
      </c>
      <c r="T236" s="199">
        <f t="shared" si="129"/>
        <v>2223.4465084512349</v>
      </c>
      <c r="U236" s="199">
        <f t="shared" si="129"/>
        <v>3610.0308692046665</v>
      </c>
      <c r="V236" s="199">
        <f t="shared" si="129"/>
        <v>6769.3658287573471</v>
      </c>
      <c r="W236" s="32"/>
      <c r="X236" s="62"/>
      <c r="Y236" s="62"/>
      <c r="Z236" s="62"/>
      <c r="AA236" s="62"/>
      <c r="AB236" s="62"/>
      <c r="AD236" s="166"/>
      <c r="AE236" s="166"/>
      <c r="AF236" s="166"/>
      <c r="AG236" s="166"/>
      <c r="AH236" s="166"/>
      <c r="AI236" s="166"/>
      <c r="AJ236" s="166"/>
      <c r="AK236" s="166"/>
      <c r="AL236" s="166"/>
      <c r="AM236" s="166"/>
      <c r="AN236" s="166"/>
      <c r="AO236" s="166"/>
    </row>
    <row r="237" spans="1:41" s="38" customFormat="1">
      <c r="A237" s="112" t="s">
        <v>11</v>
      </c>
      <c r="B237" s="49"/>
      <c r="C237" s="49"/>
      <c r="D237" s="49"/>
      <c r="E237" s="49"/>
      <c r="G237" s="119"/>
      <c r="H237" s="34">
        <f t="shared" si="104"/>
        <v>36</v>
      </c>
      <c r="I237" s="38" t="str">
        <f t="shared" si="105"/>
        <v>Krompir pozni</v>
      </c>
      <c r="J237" s="182" t="s">
        <v>11</v>
      </c>
      <c r="K237" s="46"/>
      <c r="L237" s="62"/>
      <c r="M237" s="167"/>
      <c r="N237" s="62"/>
      <c r="O237" s="159">
        <v>602.66963670005782</v>
      </c>
      <c r="P237" s="42"/>
      <c r="Q237" s="159">
        <v>663.46822914826691</v>
      </c>
      <c r="R237" s="159">
        <v>602.66963670005782</v>
      </c>
      <c r="S237" s="159">
        <v>535.9086748718936</v>
      </c>
      <c r="T237" s="159">
        <v>498.80413997564801</v>
      </c>
      <c r="U237" s="159">
        <v>595.5457150349265</v>
      </c>
      <c r="V237" s="159">
        <v>626.71595618042852</v>
      </c>
      <c r="W237" s="201"/>
      <c r="X237" s="164"/>
      <c r="Y237" s="164"/>
      <c r="Z237" s="164"/>
      <c r="AA237" s="164"/>
      <c r="AB237" s="164"/>
      <c r="AD237" s="166"/>
      <c r="AE237" s="166"/>
      <c r="AF237" s="166"/>
      <c r="AG237" s="166"/>
      <c r="AH237" s="166"/>
      <c r="AI237" s="166"/>
      <c r="AJ237" s="166"/>
      <c r="AK237" s="166"/>
      <c r="AL237" s="166"/>
      <c r="AM237" s="166"/>
      <c r="AN237" s="166"/>
      <c r="AO237" s="166"/>
    </row>
    <row r="238" spans="1:41" s="38" customFormat="1">
      <c r="A238" s="49"/>
      <c r="B238" s="49"/>
      <c r="C238" s="49"/>
      <c r="D238" s="49"/>
      <c r="E238" s="49"/>
      <c r="G238" s="119"/>
      <c r="H238" s="34">
        <f t="shared" si="104"/>
        <v>37</v>
      </c>
      <c r="J238" s="18" t="s">
        <v>157</v>
      </c>
      <c r="K238" s="46"/>
      <c r="L238" s="62"/>
      <c r="M238" s="167"/>
      <c r="N238" s="62"/>
      <c r="O238" s="220">
        <f>+O236-O237</f>
        <v>6207.4548530355341</v>
      </c>
      <c r="P238" s="167"/>
      <c r="Q238" s="220">
        <f t="shared" ref="Q238:V238" si="130">+Q236-Q237</f>
        <v>9285.9483338355167</v>
      </c>
      <c r="R238" s="220">
        <f t="shared" si="130"/>
        <v>6207.4548530355341</v>
      </c>
      <c r="S238" s="220">
        <f t="shared" si="130"/>
        <v>3174.4342194939372</v>
      </c>
      <c r="T238" s="220">
        <f t="shared" si="130"/>
        <v>1724.6423684755869</v>
      </c>
      <c r="U238" s="220">
        <f t="shared" si="130"/>
        <v>3014.4851541697399</v>
      </c>
      <c r="V238" s="220">
        <f t="shared" si="130"/>
        <v>6142.6498725769188</v>
      </c>
      <c r="W238" s="32"/>
      <c r="X238" s="62"/>
      <c r="Y238" s="62"/>
      <c r="Z238" s="62"/>
      <c r="AA238" s="62"/>
      <c r="AB238" s="62"/>
      <c r="AD238" s="166"/>
      <c r="AE238" s="166"/>
      <c r="AF238" s="166"/>
      <c r="AG238" s="166"/>
      <c r="AH238" s="166"/>
      <c r="AI238" s="166"/>
      <c r="AJ238" s="166"/>
      <c r="AK238" s="166"/>
      <c r="AL238" s="166"/>
      <c r="AM238" s="166"/>
      <c r="AN238" s="166"/>
      <c r="AO238" s="166"/>
    </row>
    <row r="239" spans="1:41" s="38" customFormat="1">
      <c r="A239" s="49"/>
      <c r="B239" s="49"/>
      <c r="C239" s="49"/>
      <c r="D239" s="49"/>
      <c r="E239" s="49"/>
      <c r="F239" s="114"/>
      <c r="G239" s="114"/>
      <c r="H239" s="61">
        <f>1</f>
        <v>1</v>
      </c>
      <c r="I239" s="61" t="str">
        <f>+J241</f>
        <v>Jabolka namizna</v>
      </c>
      <c r="J239" s="60" t="s">
        <v>115</v>
      </c>
      <c r="K239" s="61"/>
      <c r="L239" s="61"/>
      <c r="M239" s="61"/>
      <c r="N239" s="61"/>
      <c r="O239" s="145" t="e">
        <f>O247-O259+O252-'2026'!#REF!</f>
        <v>#REF!</v>
      </c>
      <c r="P239" s="61"/>
      <c r="Q239" s="145" t="e">
        <f>Q247-Q259+Q252-'2026'!#REF!</f>
        <v>#REF!</v>
      </c>
      <c r="R239" s="145" t="e">
        <f>R247-R259+R252-'2026'!#REF!</f>
        <v>#REF!</v>
      </c>
      <c r="S239" s="145" t="e">
        <f>S247-S259+S252-'2026'!#REF!</f>
        <v>#REF!</v>
      </c>
      <c r="T239" s="145" t="e">
        <f>T247-T259+T252-'2026'!#REF!</f>
        <v>#REF!</v>
      </c>
      <c r="U239" s="145" t="e">
        <f>U247-U259+U252-'2026'!#REF!</f>
        <v>#REF!</v>
      </c>
      <c r="V239" s="145"/>
      <c r="W239" s="61"/>
      <c r="X239" s="61"/>
      <c r="Y239" s="61"/>
      <c r="Z239" s="61"/>
      <c r="AA239" s="61"/>
      <c r="AB239" s="61"/>
      <c r="AD239" s="166"/>
      <c r="AE239" s="166"/>
      <c r="AF239" s="166"/>
      <c r="AG239" s="166"/>
      <c r="AH239" s="166"/>
      <c r="AI239" s="166"/>
      <c r="AJ239" s="166"/>
      <c r="AK239" s="166"/>
      <c r="AL239" s="166"/>
      <c r="AM239" s="166"/>
      <c r="AN239" s="166"/>
      <c r="AO239" s="166"/>
    </row>
    <row r="240" spans="1:41" s="38" customFormat="1">
      <c r="A240" s="49"/>
      <c r="B240" s="49"/>
      <c r="C240" s="49"/>
      <c r="D240" s="49"/>
      <c r="E240" s="49"/>
      <c r="F240" s="114"/>
      <c r="G240" s="114"/>
      <c r="H240" s="34">
        <f>H239+1</f>
        <v>2</v>
      </c>
      <c r="I240" s="38" t="str">
        <f>+I239</f>
        <v>Jabolka namizna</v>
      </c>
      <c r="J240" s="36" t="s">
        <v>116</v>
      </c>
      <c r="K240" s="37"/>
      <c r="L240" s="37"/>
      <c r="M240" s="148"/>
      <c r="N240" s="37"/>
      <c r="O240" s="204" t="e">
        <f>#REF!</f>
        <v>#REF!</v>
      </c>
      <c r="P240" s="204"/>
      <c r="Q240" s="149" t="s">
        <v>107</v>
      </c>
      <c r="R240" s="149" t="s">
        <v>108</v>
      </c>
      <c r="S240" s="149" t="s">
        <v>170</v>
      </c>
      <c r="T240" s="149" t="s">
        <v>106</v>
      </c>
      <c r="U240" s="149" t="s">
        <v>171</v>
      </c>
      <c r="V240" s="37"/>
      <c r="W240" s="37"/>
      <c r="X240" s="149"/>
      <c r="Y240" s="149"/>
      <c r="Z240" s="37"/>
      <c r="AA240" s="37"/>
      <c r="AB240" s="37"/>
      <c r="AD240" s="166"/>
      <c r="AE240" s="166"/>
      <c r="AF240" s="166"/>
      <c r="AG240" s="166"/>
      <c r="AH240" s="166"/>
      <c r="AI240" s="166"/>
      <c r="AJ240" s="166"/>
      <c r="AK240" s="166"/>
      <c r="AL240" s="166"/>
      <c r="AM240" s="166"/>
      <c r="AN240" s="166"/>
      <c r="AO240" s="166"/>
    </row>
    <row r="241" spans="1:41" s="38" customFormat="1">
      <c r="A241" s="49"/>
      <c r="B241" s="49"/>
      <c r="C241" s="49"/>
      <c r="D241" s="49"/>
      <c r="E241" s="49"/>
      <c r="F241" s="38" t="e">
        <f>#REF!</f>
        <v>#REF!</v>
      </c>
      <c r="G241" s="120"/>
      <c r="H241" s="34">
        <f t="shared" ref="H241:H275" si="131">H240+1</f>
        <v>3</v>
      </c>
      <c r="I241" s="38" t="str">
        <f>+I240</f>
        <v>Jabolka namizna</v>
      </c>
      <c r="J241" s="40" t="s">
        <v>191</v>
      </c>
      <c r="K241" s="18" t="str">
        <f>+K$56</f>
        <v>Enota</v>
      </c>
      <c r="L241" s="102"/>
      <c r="M241" s="150"/>
      <c r="N241" s="144"/>
      <c r="O241" s="107"/>
      <c r="P241" s="107"/>
      <c r="Q241" s="18"/>
      <c r="R241" s="18"/>
      <c r="S241" s="107">
        <v>2012</v>
      </c>
      <c r="T241" s="18"/>
      <c r="U241" s="107"/>
      <c r="X241" s="38" t="s">
        <v>73</v>
      </c>
      <c r="AD241" s="166"/>
      <c r="AE241" s="166"/>
      <c r="AF241" s="166"/>
      <c r="AG241" s="166"/>
      <c r="AH241" s="166"/>
      <c r="AI241" s="166"/>
      <c r="AJ241" s="166"/>
      <c r="AK241" s="166"/>
      <c r="AL241" s="166"/>
      <c r="AM241" s="166"/>
      <c r="AN241" s="166"/>
      <c r="AO241" s="166"/>
    </row>
    <row r="242" spans="1:41" s="38" customFormat="1">
      <c r="A242" s="49"/>
      <c r="B242" s="49"/>
      <c r="C242" s="49"/>
      <c r="D242" s="49"/>
      <c r="E242" s="49"/>
      <c r="G242" s="120"/>
      <c r="H242" s="34">
        <f t="shared" si="131"/>
        <v>4</v>
      </c>
      <c r="I242" s="38" t="str">
        <f>+I241</f>
        <v>Jabolka namizna</v>
      </c>
      <c r="J242" s="17" t="s">
        <v>65</v>
      </c>
      <c r="K242" s="18"/>
      <c r="L242" s="102"/>
      <c r="M242" s="150"/>
      <c r="N242" s="144"/>
      <c r="O242" s="107"/>
      <c r="P242" s="107"/>
      <c r="Q242" s="102" t="s">
        <v>64</v>
      </c>
      <c r="R242" s="102"/>
      <c r="S242" s="102" t="s">
        <v>66</v>
      </c>
      <c r="T242" s="102" t="s">
        <v>58</v>
      </c>
      <c r="U242" s="102"/>
      <c r="V242" s="102"/>
      <c r="W242" s="102"/>
      <c r="X242" s="144" t="s">
        <v>68</v>
      </c>
      <c r="Y242" s="102" t="s">
        <v>66</v>
      </c>
      <c r="Z242" s="102" t="s">
        <v>58</v>
      </c>
      <c r="AA242" s="102"/>
      <c r="AB242" s="102"/>
      <c r="AD242" s="166"/>
      <c r="AE242" s="166"/>
      <c r="AF242" s="166"/>
      <c r="AG242" s="166"/>
      <c r="AH242" s="166"/>
      <c r="AI242" s="166"/>
      <c r="AJ242" s="166"/>
      <c r="AK242" s="166"/>
      <c r="AL242" s="166"/>
      <c r="AM242" s="166"/>
      <c r="AN242" s="166"/>
      <c r="AO242" s="166"/>
    </row>
    <row r="243" spans="1:41" s="38" customFormat="1">
      <c r="A243" s="49" t="s">
        <v>9</v>
      </c>
      <c r="B243" s="49"/>
      <c r="C243" s="49"/>
      <c r="D243" s="49"/>
      <c r="E243" s="49"/>
      <c r="F243" s="18"/>
      <c r="G243" s="120"/>
      <c r="H243" s="34">
        <f t="shared" si="131"/>
        <v>5</v>
      </c>
      <c r="I243" s="38" t="str">
        <f>+I242</f>
        <v>Jabolka namizna</v>
      </c>
      <c r="J243" s="17" t="s">
        <v>8</v>
      </c>
      <c r="K243" s="18" t="s">
        <v>7</v>
      </c>
      <c r="L243" s="152"/>
      <c r="M243" s="205"/>
      <c r="N243" s="154"/>
      <c r="O243" s="159">
        <v>40000</v>
      </c>
      <c r="P243" s="18"/>
      <c r="Q243" s="159">
        <v>60000</v>
      </c>
      <c r="R243" s="159">
        <v>55000</v>
      </c>
      <c r="S243" s="159">
        <v>45000</v>
      </c>
      <c r="T243" s="159">
        <v>40000</v>
      </c>
      <c r="U243" s="159">
        <v>35000</v>
      </c>
      <c r="V243" s="159"/>
      <c r="W243" s="102"/>
      <c r="X243" s="147">
        <f>Q243/$T243*100</f>
        <v>150</v>
      </c>
      <c r="Y243" s="147">
        <f t="shared" ref="Y243" si="132">R243/$T243*100</f>
        <v>137.5</v>
      </c>
      <c r="Z243" s="147">
        <f t="shared" ref="Z243" si="133">S243/$T243*100</f>
        <v>112.5</v>
      </c>
      <c r="AA243" s="147">
        <f t="shared" ref="AA243" si="134">T243/$T243*100</f>
        <v>100</v>
      </c>
      <c r="AB243" s="147">
        <f t="shared" ref="AB243" si="135">U243/$T243*100</f>
        <v>87.5</v>
      </c>
      <c r="AD243" s="166"/>
      <c r="AE243" s="166"/>
      <c r="AF243" s="166"/>
      <c r="AG243" s="166"/>
      <c r="AH243" s="166"/>
      <c r="AI243" s="166"/>
      <c r="AJ243" s="166"/>
      <c r="AK243" s="166"/>
      <c r="AL243" s="166"/>
      <c r="AM243" s="166"/>
      <c r="AN243" s="166"/>
      <c r="AO243" s="166"/>
    </row>
    <row r="244" spans="1:41" s="38" customFormat="1">
      <c r="A244" s="49" t="s">
        <v>75</v>
      </c>
      <c r="B244" s="49"/>
      <c r="C244" s="49"/>
      <c r="D244" s="49"/>
      <c r="E244" s="49"/>
      <c r="F244" s="18"/>
      <c r="G244" s="120"/>
      <c r="H244" s="34">
        <f t="shared" si="131"/>
        <v>6</v>
      </c>
      <c r="J244" s="17"/>
      <c r="K244" s="18"/>
      <c r="L244" s="152"/>
      <c r="M244" s="205"/>
      <c r="N244" s="154"/>
      <c r="O244" s="152"/>
      <c r="P244" s="18"/>
      <c r="Q244" s="152"/>
      <c r="R244" s="152"/>
      <c r="S244" s="152"/>
      <c r="T244" s="152"/>
      <c r="U244" s="152"/>
      <c r="V244" s="152"/>
      <c r="W244" s="102"/>
      <c r="X244" s="102"/>
      <c r="Y244" s="102"/>
      <c r="Z244" s="102"/>
      <c r="AA244" s="102"/>
      <c r="AB244" s="102"/>
      <c r="AD244" s="166"/>
      <c r="AE244" s="166"/>
      <c r="AF244" s="166"/>
      <c r="AG244" s="166"/>
      <c r="AH244" s="166"/>
      <c r="AI244" s="166"/>
      <c r="AJ244" s="166"/>
      <c r="AK244" s="166"/>
      <c r="AL244" s="166"/>
      <c r="AM244" s="166"/>
      <c r="AN244" s="166"/>
      <c r="AO244" s="166"/>
    </row>
    <row r="245" spans="1:41" s="38" customFormat="1">
      <c r="A245" s="49" t="s">
        <v>72</v>
      </c>
      <c r="B245" s="49"/>
      <c r="C245" s="49"/>
      <c r="D245" s="49"/>
      <c r="E245" s="49"/>
      <c r="F245" s="18"/>
      <c r="G245" s="120"/>
      <c r="H245" s="34">
        <f t="shared" si="131"/>
        <v>7</v>
      </c>
      <c r="I245" s="38" t="str">
        <f>+I243</f>
        <v>Jabolka namizna</v>
      </c>
      <c r="J245" s="17" t="s">
        <v>71</v>
      </c>
      <c r="K245" s="18" t="s">
        <v>70</v>
      </c>
      <c r="L245" s="102"/>
      <c r="M245" s="150"/>
      <c r="N245" s="144"/>
      <c r="O245" s="158">
        <v>0.5</v>
      </c>
      <c r="P245" s="159"/>
      <c r="Q245" s="158">
        <v>0.5</v>
      </c>
      <c r="R245" s="158">
        <v>0.5</v>
      </c>
      <c r="S245" s="158">
        <v>0.5</v>
      </c>
      <c r="T245" s="158">
        <v>0.5</v>
      </c>
      <c r="U245" s="158">
        <v>0.5</v>
      </c>
      <c r="V245" s="159"/>
      <c r="W245" s="102"/>
      <c r="X245" s="147"/>
      <c r="Y245" s="147"/>
      <c r="Z245" s="147"/>
      <c r="AA245" s="147"/>
      <c r="AB245" s="147"/>
      <c r="AD245" s="166"/>
      <c r="AE245" s="166"/>
      <c r="AF245" s="166"/>
      <c r="AG245" s="166"/>
      <c r="AH245" s="166"/>
      <c r="AI245" s="166"/>
      <c r="AJ245" s="166"/>
      <c r="AK245" s="166"/>
      <c r="AL245" s="166"/>
      <c r="AM245" s="166"/>
      <c r="AN245" s="166"/>
      <c r="AO245" s="166"/>
    </row>
    <row r="246" spans="1:41" s="38" customFormat="1">
      <c r="A246" s="112" t="s">
        <v>12</v>
      </c>
      <c r="B246" s="49"/>
      <c r="C246" s="49"/>
      <c r="D246" s="49"/>
      <c r="E246" s="49"/>
      <c r="F246" s="18"/>
      <c r="G246" s="120"/>
      <c r="H246" s="34">
        <f t="shared" si="131"/>
        <v>8</v>
      </c>
      <c r="I246" s="38" t="str">
        <f>+I241</f>
        <v>Jabolka namizna</v>
      </c>
      <c r="J246" s="17" t="str">
        <f>+J$61</f>
        <v>Kupljen material in storitve</v>
      </c>
      <c r="K246" s="18"/>
      <c r="L246" s="18"/>
      <c r="M246" s="136"/>
      <c r="N246" s="18"/>
      <c r="O246" s="159">
        <v>10313.534661491098</v>
      </c>
      <c r="P246" s="18"/>
      <c r="Q246" s="159">
        <v>13178.436542105284</v>
      </c>
      <c r="R246" s="159">
        <v>12512.290449764232</v>
      </c>
      <c r="S246" s="159">
        <v>11154.261628832148</v>
      </c>
      <c r="T246" s="159">
        <v>10313.534661491098</v>
      </c>
      <c r="U246" s="159">
        <v>9273.1500843391696</v>
      </c>
      <c r="V246" s="159"/>
      <c r="W246" s="152"/>
      <c r="X246" s="147"/>
      <c r="Y246" s="147"/>
      <c r="Z246" s="147"/>
      <c r="AA246" s="147"/>
      <c r="AB246" s="147"/>
      <c r="AD246" s="166"/>
      <c r="AE246" s="166"/>
      <c r="AF246" s="166"/>
      <c r="AG246" s="166"/>
      <c r="AH246" s="166"/>
      <c r="AI246" s="166"/>
      <c r="AJ246" s="166"/>
      <c r="AK246" s="166"/>
      <c r="AL246" s="166"/>
      <c r="AM246" s="166"/>
      <c r="AN246" s="166"/>
      <c r="AO246" s="166"/>
    </row>
    <row r="247" spans="1:41" s="38" customFormat="1">
      <c r="A247" s="49" t="s">
        <v>5</v>
      </c>
      <c r="B247" s="49"/>
      <c r="C247" s="49"/>
      <c r="D247" s="49"/>
      <c r="E247" s="49"/>
      <c r="F247" s="18"/>
      <c r="G247" s="120"/>
      <c r="H247" s="34">
        <f t="shared" si="131"/>
        <v>9</v>
      </c>
      <c r="I247" s="38" t="str">
        <f t="shared" ref="I247:I260" si="136">+I246</f>
        <v>Jabolka namizna</v>
      </c>
      <c r="J247" s="17" t="str">
        <f>+J$62</f>
        <v>Stroški skupaj</v>
      </c>
      <c r="K247" s="18" t="str">
        <f>+K$62</f>
        <v>EUR/ha</v>
      </c>
      <c r="L247" s="43"/>
      <c r="M247" s="214"/>
      <c r="N247" s="42"/>
      <c r="O247" s="159">
        <v>25480.663391292361</v>
      </c>
      <c r="P247" s="42"/>
      <c r="Q247" s="159">
        <v>30329.861070034491</v>
      </c>
      <c r="R247" s="159">
        <v>29168.453176247687</v>
      </c>
      <c r="S247" s="159">
        <v>26819.492088696472</v>
      </c>
      <c r="T247" s="159">
        <v>25480.663391292361</v>
      </c>
      <c r="U247" s="159">
        <v>23807.623318338305</v>
      </c>
      <c r="V247" s="159"/>
      <c r="W247" s="156"/>
      <c r="X247" s="147">
        <f>Q247/$T247*100</f>
        <v>119.03089258029</v>
      </c>
      <c r="Y247" s="147">
        <f t="shared" ref="Y247:AB247" si="137">R247/$T247*100</f>
        <v>114.47289549853548</v>
      </c>
      <c r="Z247" s="147">
        <f t="shared" si="137"/>
        <v>105.25429293909842</v>
      </c>
      <c r="AA247" s="147">
        <f t="shared" si="137"/>
        <v>100</v>
      </c>
      <c r="AB247" s="147">
        <f t="shared" si="137"/>
        <v>93.434079610636061</v>
      </c>
      <c r="AD247" s="166"/>
      <c r="AE247" s="166"/>
      <c r="AF247" s="166"/>
      <c r="AG247" s="166"/>
      <c r="AH247" s="166"/>
      <c r="AI247" s="166"/>
      <c r="AJ247" s="166"/>
      <c r="AK247" s="166"/>
      <c r="AL247" s="166"/>
      <c r="AM247" s="166"/>
      <c r="AN247" s="166"/>
      <c r="AO247" s="166"/>
    </row>
    <row r="248" spans="1:41" s="38" customFormat="1">
      <c r="A248" s="49" t="s">
        <v>4</v>
      </c>
      <c r="B248" s="49"/>
      <c r="C248" s="49"/>
      <c r="D248" s="49"/>
      <c r="E248" s="49"/>
      <c r="F248" s="18"/>
      <c r="G248" s="120"/>
      <c r="H248" s="34">
        <f t="shared" si="131"/>
        <v>10</v>
      </c>
      <c r="I248" s="38" t="str">
        <f t="shared" si="136"/>
        <v>Jabolka namizna</v>
      </c>
      <c r="J248" s="17" t="str">
        <f>+J$63</f>
        <v>Stranski pridelki</v>
      </c>
      <c r="K248" s="18" t="str">
        <f>+K$63</f>
        <v>EUR/ha</v>
      </c>
      <c r="L248" s="43"/>
      <c r="M248" s="214"/>
      <c r="N248" s="43"/>
      <c r="O248" s="159">
        <v>0</v>
      </c>
      <c r="P248" s="43"/>
      <c r="Q248" s="159">
        <v>0</v>
      </c>
      <c r="R248" s="159">
        <v>0</v>
      </c>
      <c r="S248" s="159">
        <v>0</v>
      </c>
      <c r="T248" s="159">
        <v>0</v>
      </c>
      <c r="U248" s="159">
        <v>0</v>
      </c>
      <c r="V248" s="159"/>
      <c r="W248" s="201"/>
      <c r="X248" s="147"/>
      <c r="Y248" s="147"/>
      <c r="Z248" s="147"/>
      <c r="AA248" s="147"/>
      <c r="AB248" s="147"/>
      <c r="AD248" s="166"/>
      <c r="AE248" s="166"/>
      <c r="AF248" s="166"/>
      <c r="AG248" s="166"/>
      <c r="AH248" s="166"/>
      <c r="AI248" s="166"/>
      <c r="AJ248" s="166"/>
      <c r="AK248" s="166"/>
      <c r="AL248" s="166"/>
      <c r="AM248" s="166"/>
      <c r="AN248" s="166"/>
      <c r="AO248" s="166"/>
    </row>
    <row r="249" spans="1:41" s="38" customFormat="1">
      <c r="A249" s="49"/>
      <c r="B249" s="49"/>
      <c r="C249" s="49"/>
      <c r="D249" s="49"/>
      <c r="E249" s="49"/>
      <c r="F249" s="18"/>
      <c r="G249" s="120"/>
      <c r="H249" s="34">
        <f t="shared" si="131"/>
        <v>11</v>
      </c>
      <c r="I249" s="38" t="str">
        <f t="shared" si="136"/>
        <v>Jabolka namizna</v>
      </c>
      <c r="J249" s="17" t="str">
        <f>+J$64</f>
        <v>Stroški glavnega pridelka</v>
      </c>
      <c r="K249" s="18" t="str">
        <f>+K$64</f>
        <v>EUR/ha</v>
      </c>
      <c r="L249" s="215"/>
      <c r="M249" s="214"/>
      <c r="N249" s="215"/>
      <c r="O249" s="169">
        <f>+O247-O248</f>
        <v>25480.663391292361</v>
      </c>
      <c r="P249" s="43"/>
      <c r="Q249" s="169">
        <f t="shared" ref="Q249:U249" si="138">+Q247-Q248</f>
        <v>30329.861070034491</v>
      </c>
      <c r="R249" s="169">
        <f t="shared" si="138"/>
        <v>29168.453176247687</v>
      </c>
      <c r="S249" s="169">
        <f t="shared" si="138"/>
        <v>26819.492088696472</v>
      </c>
      <c r="T249" s="169">
        <f t="shared" si="138"/>
        <v>25480.663391292361</v>
      </c>
      <c r="U249" s="169">
        <f t="shared" si="138"/>
        <v>23807.623318338305</v>
      </c>
      <c r="V249" s="169"/>
      <c r="W249" s="32"/>
      <c r="X249" s="147">
        <f t="shared" ref="X249:X260" si="139">Q249/$T249*100</f>
        <v>119.03089258029</v>
      </c>
      <c r="Y249" s="147">
        <f t="shared" ref="Y249:Y260" si="140">R249/$T249*100</f>
        <v>114.47289549853548</v>
      </c>
      <c r="Z249" s="147">
        <f t="shared" ref="Z249:Z260" si="141">S249/$T249*100</f>
        <v>105.25429293909842</v>
      </c>
      <c r="AA249" s="147">
        <f t="shared" ref="AA249:AA260" si="142">T249/$T249*100</f>
        <v>100</v>
      </c>
      <c r="AB249" s="147">
        <f t="shared" ref="AB249:AB260" si="143">U249/$T249*100</f>
        <v>93.434079610636061</v>
      </c>
      <c r="AD249" s="166"/>
      <c r="AE249" s="166"/>
      <c r="AF249" s="166"/>
      <c r="AG249" s="166"/>
      <c r="AH249" s="166"/>
      <c r="AI249" s="166"/>
      <c r="AJ249" s="166"/>
      <c r="AK249" s="166"/>
      <c r="AL249" s="166"/>
      <c r="AM249" s="166"/>
      <c r="AN249" s="166"/>
      <c r="AO249" s="166"/>
    </row>
    <row r="250" spans="1:41" s="38" customFormat="1">
      <c r="A250" s="49" t="s">
        <v>3</v>
      </c>
      <c r="B250" s="49" t="s">
        <v>0</v>
      </c>
      <c r="C250" s="49" t="s">
        <v>2</v>
      </c>
      <c r="D250" s="49" t="s">
        <v>1</v>
      </c>
      <c r="E250" s="49" t="s">
        <v>0</v>
      </c>
      <c r="F250" s="18"/>
      <c r="G250" s="120"/>
      <c r="H250" s="34">
        <f t="shared" si="131"/>
        <v>12</v>
      </c>
      <c r="I250" s="38" t="str">
        <f t="shared" si="136"/>
        <v>Jabolka namizna</v>
      </c>
      <c r="J250" s="17" t="str">
        <f>+J$65</f>
        <v>Subvencije</v>
      </c>
      <c r="K250" s="18" t="str">
        <f>+K$65</f>
        <v>EUR/ha</v>
      </c>
      <c r="L250" s="43"/>
      <c r="M250" s="214"/>
      <c r="N250" s="43"/>
      <c r="O250" s="159">
        <v>23.94</v>
      </c>
      <c r="P250" s="43"/>
      <c r="Q250" s="159">
        <v>23.94</v>
      </c>
      <c r="R250" s="159">
        <v>23.94</v>
      </c>
      <c r="S250" s="159">
        <v>23.94</v>
      </c>
      <c r="T250" s="159">
        <v>23.94</v>
      </c>
      <c r="U250" s="159">
        <v>23.94</v>
      </c>
      <c r="V250" s="159"/>
      <c r="W250" s="32"/>
      <c r="X250" s="147">
        <f t="shared" si="139"/>
        <v>100</v>
      </c>
      <c r="Y250" s="147">
        <f t="shared" si="140"/>
        <v>100</v>
      </c>
      <c r="Z250" s="147">
        <f t="shared" si="141"/>
        <v>100</v>
      </c>
      <c r="AA250" s="147">
        <f t="shared" si="142"/>
        <v>100</v>
      </c>
      <c r="AB250" s="147">
        <f t="shared" si="143"/>
        <v>100</v>
      </c>
      <c r="AD250" s="166"/>
      <c r="AE250" s="166"/>
      <c r="AF250" s="166"/>
      <c r="AG250" s="166"/>
      <c r="AH250" s="166"/>
      <c r="AI250" s="166"/>
      <c r="AJ250" s="166"/>
      <c r="AK250" s="166"/>
      <c r="AL250" s="166"/>
      <c r="AM250" s="166"/>
      <c r="AN250" s="166"/>
      <c r="AO250" s="166"/>
    </row>
    <row r="251" spans="1:41" s="38" customFormat="1">
      <c r="A251" s="49"/>
      <c r="B251" s="49"/>
      <c r="C251" s="49" t="s">
        <v>6</v>
      </c>
      <c r="D251" s="49"/>
      <c r="E251" s="49"/>
      <c r="F251" s="18"/>
      <c r="G251" s="120"/>
      <c r="H251" s="34">
        <f t="shared" si="131"/>
        <v>13</v>
      </c>
      <c r="I251" s="38" t="str">
        <f t="shared" si="136"/>
        <v>Jabolka namizna</v>
      </c>
      <c r="J251" s="17" t="str">
        <f>+J$66</f>
        <v>Stroški, zmanjšani za subvencije</v>
      </c>
      <c r="K251" s="18" t="str">
        <f>+K$66</f>
        <v>EUR/ha</v>
      </c>
      <c r="L251" s="215"/>
      <c r="M251" s="214"/>
      <c r="N251" s="215"/>
      <c r="O251" s="171">
        <f>+O249-O250</f>
        <v>25456.723391292362</v>
      </c>
      <c r="P251" s="43"/>
      <c r="Q251" s="171">
        <f t="shared" ref="Q251:U251" si="144">+Q249-Q250</f>
        <v>30305.921070034492</v>
      </c>
      <c r="R251" s="171">
        <f t="shared" si="144"/>
        <v>29144.513176247689</v>
      </c>
      <c r="S251" s="171">
        <f t="shared" si="144"/>
        <v>26795.552088696473</v>
      </c>
      <c r="T251" s="171">
        <f t="shared" si="144"/>
        <v>25456.723391292362</v>
      </c>
      <c r="U251" s="171">
        <f t="shared" si="144"/>
        <v>23783.683318338306</v>
      </c>
      <c r="V251" s="171"/>
      <c r="W251" s="32"/>
      <c r="X251" s="147">
        <f t="shared" si="139"/>
        <v>119.04878960346024</v>
      </c>
      <c r="Y251" s="147">
        <f t="shared" si="140"/>
        <v>114.48650609220495</v>
      </c>
      <c r="Z251" s="147">
        <f t="shared" si="141"/>
        <v>105.25923417882628</v>
      </c>
      <c r="AA251" s="147">
        <f t="shared" si="142"/>
        <v>100</v>
      </c>
      <c r="AB251" s="147">
        <f t="shared" si="143"/>
        <v>93.427904890830021</v>
      </c>
      <c r="AD251" s="166"/>
      <c r="AE251" s="166"/>
      <c r="AF251" s="166"/>
      <c r="AG251" s="166"/>
      <c r="AH251" s="166"/>
      <c r="AI251" s="166"/>
      <c r="AJ251" s="166"/>
      <c r="AK251" s="166"/>
      <c r="AL251" s="166"/>
      <c r="AM251" s="166"/>
      <c r="AN251" s="166"/>
      <c r="AO251" s="166"/>
    </row>
    <row r="252" spans="1:41" s="38" customFormat="1">
      <c r="A252" s="49"/>
      <c r="B252" s="49"/>
      <c r="C252" s="49"/>
      <c r="D252" s="49"/>
      <c r="E252" s="49"/>
      <c r="F252" s="18"/>
      <c r="G252" s="120"/>
      <c r="H252" s="34">
        <f t="shared" si="131"/>
        <v>14</v>
      </c>
      <c r="I252" s="38" t="str">
        <f t="shared" si="136"/>
        <v>Jabolka namizna</v>
      </c>
      <c r="J252" s="17" t="str">
        <f>+J$67</f>
        <v>Stroški, zmanjšani za subvencije/kg</v>
      </c>
      <c r="K252" s="18" t="str">
        <f>+K$67</f>
        <v>EUR/kg</v>
      </c>
      <c r="L252" s="216"/>
      <c r="M252" s="217"/>
      <c r="N252" s="215"/>
      <c r="O252" s="177">
        <f>+O251/O243</f>
        <v>0.6364180847823091</v>
      </c>
      <c r="P252" s="218"/>
      <c r="Q252" s="177">
        <f t="shared" ref="Q252:U252" si="145">+Q251/Q243</f>
        <v>0.50509868450057482</v>
      </c>
      <c r="R252" s="177">
        <f t="shared" si="145"/>
        <v>0.52990023956813981</v>
      </c>
      <c r="S252" s="177">
        <f t="shared" si="145"/>
        <v>0.59545671308214387</v>
      </c>
      <c r="T252" s="177">
        <f t="shared" si="145"/>
        <v>0.6364180847823091</v>
      </c>
      <c r="U252" s="177">
        <f t="shared" si="145"/>
        <v>0.67953380909538019</v>
      </c>
      <c r="V252" s="177"/>
      <c r="W252" s="32"/>
      <c r="X252" s="147">
        <f t="shared" si="139"/>
        <v>79.365859735640143</v>
      </c>
      <c r="Y252" s="147">
        <f t="shared" si="140"/>
        <v>83.262913521603593</v>
      </c>
      <c r="Z252" s="147">
        <f t="shared" si="141"/>
        <v>93.563763714512234</v>
      </c>
      <c r="AA252" s="147">
        <f t="shared" si="142"/>
        <v>100</v>
      </c>
      <c r="AB252" s="147">
        <f t="shared" si="143"/>
        <v>106.77474844666288</v>
      </c>
      <c r="AD252" s="166"/>
      <c r="AE252" s="166"/>
      <c r="AF252" s="166"/>
      <c r="AG252" s="166"/>
      <c r="AH252" s="166"/>
      <c r="AI252" s="166"/>
      <c r="AJ252" s="166"/>
      <c r="AK252" s="166"/>
      <c r="AL252" s="166"/>
      <c r="AM252" s="166"/>
      <c r="AN252" s="166"/>
      <c r="AO252" s="166"/>
    </row>
    <row r="253" spans="1:41" s="38" customFormat="1">
      <c r="A253" s="49" t="s">
        <v>136</v>
      </c>
      <c r="B253" s="49"/>
      <c r="C253" s="49"/>
      <c r="D253" s="49"/>
      <c r="E253" s="49"/>
      <c r="F253" s="18"/>
      <c r="G253" s="120"/>
      <c r="H253" s="34">
        <f t="shared" si="131"/>
        <v>15</v>
      </c>
      <c r="I253" s="38" t="str">
        <f t="shared" si="136"/>
        <v>Jabolka namizna</v>
      </c>
      <c r="J253" s="17" t="str">
        <f t="shared" ref="J253" si="146">+J216</f>
        <v>davek_a</v>
      </c>
      <c r="K253" s="18"/>
      <c r="L253" s="43"/>
      <c r="M253" s="214"/>
      <c r="N253" s="43"/>
      <c r="O253" s="35">
        <v>0</v>
      </c>
      <c r="P253" s="43"/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5"/>
      <c r="W253" s="222"/>
      <c r="X253" s="147" t="e">
        <f t="shared" si="139"/>
        <v>#DIV/0!</v>
      </c>
      <c r="Y253" s="147" t="e">
        <f t="shared" si="140"/>
        <v>#DIV/0!</v>
      </c>
      <c r="Z253" s="147" t="e">
        <f t="shared" si="141"/>
        <v>#DIV/0!</v>
      </c>
      <c r="AA253" s="147" t="e">
        <f t="shared" si="142"/>
        <v>#DIV/0!</v>
      </c>
      <c r="AB253" s="147" t="e">
        <f t="shared" si="143"/>
        <v>#DIV/0!</v>
      </c>
      <c r="AD253" s="166"/>
      <c r="AE253" s="166"/>
      <c r="AF253" s="166"/>
      <c r="AG253" s="166"/>
      <c r="AH253" s="166"/>
      <c r="AI253" s="166"/>
      <c r="AJ253" s="166"/>
      <c r="AK253" s="166"/>
      <c r="AL253" s="166"/>
      <c r="AM253" s="166"/>
      <c r="AN253" s="166"/>
      <c r="AO253" s="166"/>
    </row>
    <row r="254" spans="1:41" s="38" customFormat="1">
      <c r="A254" s="18" t="s">
        <v>92</v>
      </c>
      <c r="B254" s="49"/>
      <c r="C254" s="49"/>
      <c r="D254" s="49"/>
      <c r="E254" s="49"/>
      <c r="F254" s="18"/>
      <c r="G254" s="120"/>
      <c r="H254" s="34">
        <f t="shared" si="131"/>
        <v>16</v>
      </c>
      <c r="I254" s="38" t="str">
        <f t="shared" si="136"/>
        <v>Jabolka namizna</v>
      </c>
      <c r="J254" s="17" t="str">
        <f t="shared" ref="J254:J259" si="147">+A254</f>
        <v>Pokoj obvezno</v>
      </c>
      <c r="K254" s="18"/>
      <c r="L254" s="43"/>
      <c r="M254" s="214"/>
      <c r="N254" s="43"/>
      <c r="O254" s="35">
        <v>820.57346790659096</v>
      </c>
      <c r="P254" s="43"/>
      <c r="Q254" s="35">
        <v>952.38622350100684</v>
      </c>
      <c r="R254" s="35">
        <v>919.43303460240281</v>
      </c>
      <c r="S254" s="35">
        <v>853.52665680519499</v>
      </c>
      <c r="T254" s="35">
        <v>820.57346790659096</v>
      </c>
      <c r="U254" s="35">
        <v>779.46731215367686</v>
      </c>
      <c r="V254" s="35"/>
      <c r="W254" s="32"/>
      <c r="X254" s="147">
        <f t="shared" si="139"/>
        <v>116.0634922709225</v>
      </c>
      <c r="Y254" s="147">
        <f t="shared" si="140"/>
        <v>112.04761920319186</v>
      </c>
      <c r="Z254" s="147">
        <f t="shared" si="141"/>
        <v>104.01587306773064</v>
      </c>
      <c r="AA254" s="147">
        <f t="shared" si="142"/>
        <v>100</v>
      </c>
      <c r="AB254" s="147">
        <f t="shared" si="143"/>
        <v>94.990557535599805</v>
      </c>
      <c r="AD254" s="166"/>
      <c r="AE254" s="166"/>
      <c r="AF254" s="166"/>
      <c r="AG254" s="166"/>
      <c r="AH254" s="166"/>
      <c r="AI254" s="166"/>
      <c r="AJ254" s="166"/>
      <c r="AK254" s="166"/>
      <c r="AL254" s="166"/>
      <c r="AM254" s="166"/>
      <c r="AN254" s="166"/>
      <c r="AO254" s="166"/>
    </row>
    <row r="255" spans="1:41" s="38" customFormat="1">
      <c r="A255" s="18" t="s">
        <v>91</v>
      </c>
      <c r="B255" s="49"/>
      <c r="C255" s="49"/>
      <c r="D255" s="49"/>
      <c r="E255" s="49"/>
      <c r="F255" s="18"/>
      <c r="G255" s="18"/>
      <c r="H255" s="34">
        <f t="shared" si="131"/>
        <v>17</v>
      </c>
      <c r="I255" s="38" t="str">
        <f t="shared" si="136"/>
        <v>Jabolka namizna</v>
      </c>
      <c r="J255" s="17" t="str">
        <f t="shared" si="147"/>
        <v>Zdrav obvezno</v>
      </c>
      <c r="K255" s="18"/>
      <c r="L255" s="42"/>
      <c r="M255" s="219"/>
      <c r="N255" s="42"/>
      <c r="O255" s="35">
        <v>481.22663375941357</v>
      </c>
      <c r="P255" s="42"/>
      <c r="Q255" s="35">
        <v>558.52843687897746</v>
      </c>
      <c r="R255" s="35">
        <v>539.2029860990865</v>
      </c>
      <c r="S255" s="35">
        <v>500.55208453930447</v>
      </c>
      <c r="T255" s="35">
        <v>481.22663375941357</v>
      </c>
      <c r="U255" s="35">
        <v>457.11986241786593</v>
      </c>
      <c r="V255" s="35"/>
      <c r="W255" s="32"/>
      <c r="X255" s="147">
        <f t="shared" si="139"/>
        <v>116.0634922709225</v>
      </c>
      <c r="Y255" s="147">
        <f t="shared" si="140"/>
        <v>112.04761920319186</v>
      </c>
      <c r="Z255" s="147">
        <f t="shared" si="141"/>
        <v>104.01587306773061</v>
      </c>
      <c r="AA255" s="147">
        <f t="shared" si="142"/>
        <v>100</v>
      </c>
      <c r="AB255" s="147">
        <f t="shared" si="143"/>
        <v>94.990557535599805</v>
      </c>
      <c r="AD255" s="166"/>
      <c r="AE255" s="166"/>
      <c r="AF255" s="166"/>
      <c r="AG255" s="166"/>
      <c r="AH255" s="166"/>
      <c r="AI255" s="166"/>
      <c r="AJ255" s="166"/>
      <c r="AK255" s="166"/>
      <c r="AL255" s="166"/>
      <c r="AM255" s="166"/>
      <c r="AN255" s="166"/>
      <c r="AO255" s="166"/>
    </row>
    <row r="256" spans="1:41" s="38" customFormat="1">
      <c r="A256" s="18" t="s">
        <v>90</v>
      </c>
      <c r="B256" s="49"/>
      <c r="C256" s="49"/>
      <c r="D256" s="49"/>
      <c r="E256" s="49"/>
      <c r="F256" s="18"/>
      <c r="G256" s="18"/>
      <c r="H256" s="34">
        <f t="shared" si="131"/>
        <v>18</v>
      </c>
      <c r="I256" s="38" t="str">
        <f t="shared" si="136"/>
        <v>Jabolka namizna</v>
      </c>
      <c r="J256" s="17" t="str">
        <f t="shared" si="147"/>
        <v>Pokoj dodatno</v>
      </c>
      <c r="K256" s="18"/>
      <c r="L256" s="43"/>
      <c r="M256" s="214"/>
      <c r="N256" s="43"/>
      <c r="O256" s="35">
        <v>655.12785811273739</v>
      </c>
      <c r="P256" s="43"/>
      <c r="Q256" s="35">
        <v>760.3642709653368</v>
      </c>
      <c r="R256" s="35">
        <v>734.05516775218712</v>
      </c>
      <c r="S256" s="35">
        <v>681.43696132588718</v>
      </c>
      <c r="T256" s="35">
        <v>655.12785811273739</v>
      </c>
      <c r="U256" s="35">
        <v>622.30960499232231</v>
      </c>
      <c r="V256" s="35"/>
      <c r="W256" s="201"/>
      <c r="X256" s="147">
        <f t="shared" si="139"/>
        <v>116.06349227092245</v>
      </c>
      <c r="Y256" s="147">
        <f t="shared" si="140"/>
        <v>112.04761920319186</v>
      </c>
      <c r="Z256" s="147">
        <f t="shared" si="141"/>
        <v>104.01587306773061</v>
      </c>
      <c r="AA256" s="147">
        <f t="shared" si="142"/>
        <v>100</v>
      </c>
      <c r="AB256" s="147">
        <f t="shared" si="143"/>
        <v>94.990557535599791</v>
      </c>
      <c r="AD256" s="166"/>
      <c r="AE256" s="166"/>
      <c r="AF256" s="166"/>
      <c r="AG256" s="166"/>
      <c r="AH256" s="166"/>
      <c r="AI256" s="166"/>
      <c r="AJ256" s="166"/>
      <c r="AK256" s="166"/>
      <c r="AL256" s="166"/>
      <c r="AM256" s="166"/>
      <c r="AN256" s="166"/>
      <c r="AO256" s="166"/>
    </row>
    <row r="257" spans="1:41" s="38" customFormat="1">
      <c r="A257" s="18" t="s">
        <v>89</v>
      </c>
      <c r="B257" s="49"/>
      <c r="C257" s="49"/>
      <c r="D257" s="49"/>
      <c r="E257" s="49"/>
      <c r="F257" s="18"/>
      <c r="G257" s="18"/>
      <c r="H257" s="34">
        <f t="shared" si="131"/>
        <v>19</v>
      </c>
      <c r="I257" s="38" t="str">
        <f t="shared" si="136"/>
        <v>Jabolka namizna</v>
      </c>
      <c r="J257" s="17" t="str">
        <f t="shared" si="147"/>
        <v>Zdrav dodatno</v>
      </c>
      <c r="K257" s="18"/>
      <c r="L257" s="42"/>
      <c r="M257" s="219"/>
      <c r="N257" s="42"/>
      <c r="O257" s="35">
        <v>384.2007890480503</v>
      </c>
      <c r="P257" s="42"/>
      <c r="Q257" s="35">
        <v>445.91685310160705</v>
      </c>
      <c r="R257" s="35">
        <v>430.48783708821793</v>
      </c>
      <c r="S257" s="35">
        <v>399.62980506143953</v>
      </c>
      <c r="T257" s="35">
        <v>384.2007890480503</v>
      </c>
      <c r="U257" s="35">
        <v>364.9544715729167</v>
      </c>
      <c r="V257" s="35"/>
      <c r="W257" s="32"/>
      <c r="X257" s="147">
        <f t="shared" si="139"/>
        <v>116.06349227092248</v>
      </c>
      <c r="Y257" s="147">
        <f t="shared" si="140"/>
        <v>112.04761920319189</v>
      </c>
      <c r="Z257" s="147">
        <f t="shared" si="141"/>
        <v>104.01587306773064</v>
      </c>
      <c r="AA257" s="147">
        <f t="shared" si="142"/>
        <v>100</v>
      </c>
      <c r="AB257" s="147">
        <f t="shared" si="143"/>
        <v>94.99055753559982</v>
      </c>
      <c r="AD257" s="166"/>
      <c r="AE257" s="166"/>
      <c r="AF257" s="166"/>
      <c r="AG257" s="166"/>
      <c r="AH257" s="166"/>
      <c r="AI257" s="166"/>
      <c r="AJ257" s="166"/>
      <c r="AK257" s="166"/>
      <c r="AL257" s="166"/>
      <c r="AM257" s="166"/>
      <c r="AN257" s="166"/>
      <c r="AO257" s="166"/>
    </row>
    <row r="258" spans="1:41" s="38" customFormat="1">
      <c r="A258" s="18" t="s">
        <v>88</v>
      </c>
      <c r="B258" s="49"/>
      <c r="C258" s="49"/>
      <c r="D258" s="49"/>
      <c r="E258" s="49"/>
      <c r="F258" s="18"/>
      <c r="G258" s="18"/>
      <c r="H258" s="34">
        <f t="shared" si="131"/>
        <v>20</v>
      </c>
      <c r="I258" s="38" t="str">
        <f t="shared" si="136"/>
        <v>Jabolka namizna</v>
      </c>
      <c r="J258" s="17" t="str">
        <f t="shared" si="147"/>
        <v>Regresi</v>
      </c>
      <c r="K258" s="18"/>
      <c r="L258" s="43"/>
      <c r="M258" s="214"/>
      <c r="N258" s="43"/>
      <c r="O258" s="35">
        <v>1968.9883377906997</v>
      </c>
      <c r="P258" s="43"/>
      <c r="Q258" s="35">
        <v>2285.2766272470735</v>
      </c>
      <c r="R258" s="35">
        <v>2206.2045548829806</v>
      </c>
      <c r="S258" s="35">
        <v>2048.0604101547933</v>
      </c>
      <c r="T258" s="35">
        <v>1968.9883377906997</v>
      </c>
      <c r="U258" s="35">
        <v>1870.3529998783247</v>
      </c>
      <c r="V258" s="35"/>
      <c r="W258" s="201"/>
      <c r="X258" s="147">
        <f t="shared" si="139"/>
        <v>116.06349227092248</v>
      </c>
      <c r="Y258" s="147">
        <f t="shared" si="140"/>
        <v>112.04761920319189</v>
      </c>
      <c r="Z258" s="147">
        <f t="shared" si="141"/>
        <v>104.01587306773064</v>
      </c>
      <c r="AA258" s="147">
        <f t="shared" si="142"/>
        <v>100</v>
      </c>
      <c r="AB258" s="147">
        <f t="shared" si="143"/>
        <v>94.990557535599791</v>
      </c>
      <c r="AD258" s="166"/>
      <c r="AE258" s="166"/>
      <c r="AF258" s="166"/>
      <c r="AG258" s="166"/>
      <c r="AH258" s="166"/>
      <c r="AI258" s="166"/>
      <c r="AJ258" s="166"/>
      <c r="AK258" s="166"/>
      <c r="AL258" s="166"/>
      <c r="AM258" s="166"/>
      <c r="AN258" s="166"/>
      <c r="AO258" s="166"/>
    </row>
    <row r="259" spans="1:41" s="38" customFormat="1">
      <c r="A259" s="49" t="s">
        <v>13</v>
      </c>
      <c r="B259" s="49"/>
      <c r="C259" s="49"/>
      <c r="D259" s="49"/>
      <c r="E259" s="49"/>
      <c r="F259" s="18"/>
      <c r="G259" s="18"/>
      <c r="H259" s="34">
        <f t="shared" si="131"/>
        <v>21</v>
      </c>
      <c r="I259" s="38" t="str">
        <f t="shared" si="136"/>
        <v>Jabolka namizna</v>
      </c>
      <c r="J259" s="17" t="str">
        <f t="shared" si="147"/>
        <v>SUM element</v>
      </c>
      <c r="K259" s="18"/>
      <c r="L259" s="62"/>
      <c r="M259" s="167"/>
      <c r="N259" s="62"/>
      <c r="O259" s="159">
        <v>25480.663391292357</v>
      </c>
      <c r="P259" s="170"/>
      <c r="Q259" s="159">
        <v>30329.861070034502</v>
      </c>
      <c r="R259" s="159">
        <v>29168.453176247684</v>
      </c>
      <c r="S259" s="159">
        <v>26819.492088696472</v>
      </c>
      <c r="T259" s="159">
        <v>25480.663391292357</v>
      </c>
      <c r="U259" s="159">
        <v>23807.623318338297</v>
      </c>
      <c r="V259" s="159"/>
      <c r="W259" s="201"/>
      <c r="X259" s="147">
        <f t="shared" si="139"/>
        <v>119.03089258029007</v>
      </c>
      <c r="Y259" s="147">
        <f t="shared" si="140"/>
        <v>114.47289549853548</v>
      </c>
      <c r="Z259" s="147">
        <f t="shared" si="141"/>
        <v>105.25429293909845</v>
      </c>
      <c r="AA259" s="147">
        <f t="shared" si="142"/>
        <v>100</v>
      </c>
      <c r="AB259" s="147">
        <f t="shared" si="143"/>
        <v>93.434079610636061</v>
      </c>
      <c r="AD259" s="166"/>
      <c r="AE259" s="166"/>
      <c r="AF259" s="166"/>
      <c r="AG259" s="166"/>
      <c r="AH259" s="166"/>
      <c r="AI259" s="166"/>
      <c r="AJ259" s="166"/>
      <c r="AK259" s="166"/>
      <c r="AL259" s="166"/>
      <c r="AM259" s="166"/>
      <c r="AN259" s="166"/>
      <c r="AO259" s="166"/>
    </row>
    <row r="260" spans="1:41" s="38" customFormat="1">
      <c r="A260" s="49" t="s">
        <v>3</v>
      </c>
      <c r="B260" s="49" t="s">
        <v>0</v>
      </c>
      <c r="C260" s="49" t="s">
        <v>2</v>
      </c>
      <c r="D260" s="49" t="s">
        <v>1</v>
      </c>
      <c r="E260" s="49" t="s">
        <v>0</v>
      </c>
      <c r="F260" s="18"/>
      <c r="G260" s="18"/>
      <c r="H260" s="34">
        <f t="shared" si="131"/>
        <v>22</v>
      </c>
      <c r="I260" s="38" t="str">
        <f t="shared" si="136"/>
        <v>Jabolka namizna</v>
      </c>
      <c r="J260" s="106" t="str">
        <f t="shared" ref="J260" si="148">+J223</f>
        <v>Subvencije</v>
      </c>
      <c r="K260" s="18"/>
      <c r="L260" s="62"/>
      <c r="M260" s="167"/>
      <c r="N260" s="62"/>
      <c r="O260" s="209">
        <v>23.94</v>
      </c>
      <c r="P260" s="210"/>
      <c r="Q260" s="209">
        <v>23.94</v>
      </c>
      <c r="R260" s="209">
        <v>23.94</v>
      </c>
      <c r="S260" s="209">
        <v>23.94</v>
      </c>
      <c r="T260" s="209">
        <v>23.94</v>
      </c>
      <c r="U260" s="209">
        <v>23.94</v>
      </c>
      <c r="V260" s="159"/>
      <c r="W260" s="201"/>
      <c r="X260" s="147">
        <f t="shared" si="139"/>
        <v>100</v>
      </c>
      <c r="Y260" s="147">
        <f t="shared" si="140"/>
        <v>100</v>
      </c>
      <c r="Z260" s="147">
        <f t="shared" si="141"/>
        <v>100</v>
      </c>
      <c r="AA260" s="147">
        <f t="shared" si="142"/>
        <v>100</v>
      </c>
      <c r="AB260" s="147">
        <f t="shared" si="143"/>
        <v>100</v>
      </c>
      <c r="AD260" s="166"/>
      <c r="AE260" s="166"/>
      <c r="AF260" s="166"/>
      <c r="AG260" s="166"/>
      <c r="AH260" s="166"/>
      <c r="AI260" s="166"/>
      <c r="AJ260" s="166"/>
      <c r="AK260" s="166"/>
      <c r="AL260" s="166"/>
      <c r="AM260" s="166"/>
      <c r="AN260" s="166"/>
      <c r="AO260" s="166"/>
    </row>
    <row r="261" spans="1:41" s="38" customFormat="1" ht="12.75" customHeight="1">
      <c r="A261" s="112" t="s">
        <v>14</v>
      </c>
      <c r="B261" s="49"/>
      <c r="C261" s="49"/>
      <c r="D261" s="49"/>
      <c r="E261" s="49"/>
      <c r="F261" s="18"/>
      <c r="G261" s="18"/>
      <c r="H261" s="34">
        <f t="shared" si="131"/>
        <v>23</v>
      </c>
      <c r="J261" s="198" t="str">
        <f>+J224</f>
        <v>Vrednost pridelave_tržna</v>
      </c>
      <c r="K261" s="18"/>
      <c r="L261" s="62"/>
      <c r="M261" s="167"/>
      <c r="N261" s="62"/>
      <c r="O261" s="209">
        <v>25760</v>
      </c>
      <c r="P261" s="210"/>
      <c r="Q261" s="209">
        <v>38640</v>
      </c>
      <c r="R261" s="209">
        <v>35420</v>
      </c>
      <c r="S261" s="209">
        <v>28980</v>
      </c>
      <c r="T261" s="209">
        <v>25760</v>
      </c>
      <c r="U261" s="209">
        <v>22540</v>
      </c>
      <c r="V261" s="209"/>
      <c r="W261" s="201"/>
      <c r="X261" s="147"/>
      <c r="Y261" s="147"/>
      <c r="Z261" s="147"/>
      <c r="AA261" s="147"/>
      <c r="AB261" s="147"/>
      <c r="AD261" s="166"/>
      <c r="AE261" s="166"/>
      <c r="AF261" s="166"/>
      <c r="AG261" s="166"/>
      <c r="AH261" s="166"/>
      <c r="AI261" s="166"/>
      <c r="AJ261" s="166"/>
      <c r="AK261" s="166"/>
      <c r="AL261" s="166"/>
      <c r="AM261" s="166"/>
      <c r="AN261" s="166"/>
      <c r="AO261" s="166"/>
    </row>
    <row r="262" spans="1:41" s="38" customFormat="1">
      <c r="A262" s="49"/>
      <c r="B262" s="49"/>
      <c r="C262" s="49"/>
      <c r="D262" s="49"/>
      <c r="E262" s="49"/>
      <c r="F262" s="18"/>
      <c r="G262" s="51"/>
      <c r="H262" s="34">
        <f t="shared" si="131"/>
        <v>24</v>
      </c>
      <c r="J262" s="21"/>
      <c r="K262" s="46"/>
      <c r="L262" s="185"/>
      <c r="M262" s="186"/>
      <c r="N262" s="179"/>
      <c r="O262" s="187">
        <f>+O247-O260-O248</f>
        <v>25456.723391292362</v>
      </c>
      <c r="P262" s="62" t="s">
        <v>87</v>
      </c>
      <c r="Q262" s="187">
        <f t="shared" ref="Q262:U262" si="149">+Q247-Q260-Q248</f>
        <v>30305.921070034492</v>
      </c>
      <c r="R262" s="187">
        <f t="shared" si="149"/>
        <v>29144.513176247689</v>
      </c>
      <c r="S262" s="187">
        <f t="shared" si="149"/>
        <v>26795.552088696473</v>
      </c>
      <c r="T262" s="187">
        <f t="shared" si="149"/>
        <v>25456.723391292362</v>
      </c>
      <c r="U262" s="187">
        <f t="shared" si="149"/>
        <v>23783.683318338306</v>
      </c>
      <c r="V262" s="187"/>
      <c r="W262" s="201"/>
      <c r="X262" s="147"/>
      <c r="Y262" s="147"/>
      <c r="Z262" s="147"/>
      <c r="AA262" s="147"/>
      <c r="AB262" s="147"/>
      <c r="AD262" s="166"/>
      <c r="AE262" s="166"/>
      <c r="AF262" s="166"/>
      <c r="AG262" s="166"/>
      <c r="AH262" s="166"/>
      <c r="AI262" s="166"/>
      <c r="AJ262" s="166"/>
      <c r="AK262" s="166"/>
      <c r="AL262" s="166"/>
      <c r="AM262" s="166"/>
      <c r="AN262" s="166"/>
      <c r="AO262" s="166"/>
    </row>
    <row r="263" spans="1:41" s="38" customFormat="1">
      <c r="A263" s="49"/>
      <c r="B263" s="49"/>
      <c r="C263" s="49"/>
      <c r="D263" s="49"/>
      <c r="E263" s="49"/>
      <c r="F263" s="18"/>
      <c r="G263" s="46"/>
      <c r="H263" s="34">
        <f t="shared" si="131"/>
        <v>25</v>
      </c>
      <c r="J263" s="21"/>
      <c r="K263" s="46"/>
      <c r="L263" s="185"/>
      <c r="M263" s="186"/>
      <c r="N263" s="179"/>
      <c r="O263" s="187">
        <f>O262-O254-O255</f>
        <v>24154.92328962636</v>
      </c>
      <c r="P263" s="62" t="s">
        <v>86</v>
      </c>
      <c r="Q263" s="187">
        <f t="shared" ref="Q263:U263" si="150">Q262-Q254-Q255</f>
        <v>28795.00640965451</v>
      </c>
      <c r="R263" s="187">
        <f t="shared" si="150"/>
        <v>27685.877155546197</v>
      </c>
      <c r="S263" s="187">
        <f t="shared" si="150"/>
        <v>25441.473347351974</v>
      </c>
      <c r="T263" s="187">
        <f t="shared" si="150"/>
        <v>24154.92328962636</v>
      </c>
      <c r="U263" s="187">
        <f t="shared" si="150"/>
        <v>22547.096143766765</v>
      </c>
      <c r="V263" s="187"/>
      <c r="W263" s="211"/>
      <c r="X263" s="179"/>
      <c r="Y263" s="179"/>
      <c r="Z263" s="179"/>
      <c r="AA263" s="179"/>
      <c r="AB263" s="179"/>
      <c r="AD263" s="166"/>
      <c r="AE263" s="166"/>
      <c r="AF263" s="166"/>
      <c r="AG263" s="166"/>
      <c r="AH263" s="166"/>
      <c r="AI263" s="166"/>
      <c r="AJ263" s="166"/>
      <c r="AK263" s="166"/>
      <c r="AL263" s="166"/>
      <c r="AM263" s="166"/>
      <c r="AN263" s="166"/>
      <c r="AO263" s="166"/>
    </row>
    <row r="264" spans="1:41" s="38" customFormat="1">
      <c r="A264" s="49"/>
      <c r="B264" s="49"/>
      <c r="C264" s="49"/>
      <c r="D264" s="49"/>
      <c r="E264" s="49"/>
      <c r="F264" s="18"/>
      <c r="G264" s="17"/>
      <c r="H264" s="34">
        <f t="shared" si="131"/>
        <v>26</v>
      </c>
      <c r="J264" s="17"/>
      <c r="K264" s="18"/>
      <c r="L264" s="164"/>
      <c r="M264" s="165"/>
      <c r="N264" s="179"/>
      <c r="O264" s="187">
        <f>O263-O256-O257-O258</f>
        <v>21146.606304674875</v>
      </c>
      <c r="P264" s="62" t="s">
        <v>85</v>
      </c>
      <c r="Q264" s="187">
        <f t="shared" ref="Q264:U264" si="151">Q263-Q256-Q257-Q258</f>
        <v>25303.448658340494</v>
      </c>
      <c r="R264" s="187">
        <f t="shared" si="151"/>
        <v>24315.129595822811</v>
      </c>
      <c r="S264" s="187">
        <f t="shared" si="151"/>
        <v>22312.346170809855</v>
      </c>
      <c r="T264" s="187">
        <f t="shared" si="151"/>
        <v>21146.606304674875</v>
      </c>
      <c r="U264" s="187">
        <f t="shared" si="151"/>
        <v>19689.479067323202</v>
      </c>
      <c r="V264" s="187"/>
      <c r="W264" s="211"/>
      <c r="X264" s="179"/>
      <c r="Y264" s="179"/>
      <c r="Z264" s="179"/>
      <c r="AA264" s="179"/>
      <c r="AB264" s="179"/>
      <c r="AD264" s="166"/>
      <c r="AE264" s="166"/>
      <c r="AF264" s="166"/>
      <c r="AG264" s="166"/>
      <c r="AH264" s="166"/>
      <c r="AI264" s="166"/>
      <c r="AJ264" s="166"/>
      <c r="AK264" s="166"/>
      <c r="AL264" s="166"/>
      <c r="AM264" s="166"/>
      <c r="AN264" s="166"/>
      <c r="AO264" s="166"/>
    </row>
    <row r="265" spans="1:41" s="38" customFormat="1">
      <c r="A265" s="49"/>
      <c r="B265" s="49"/>
      <c r="C265" s="49"/>
      <c r="D265" s="49"/>
      <c r="E265" s="49"/>
      <c r="F265" s="18"/>
      <c r="G265" s="18"/>
      <c r="H265" s="34">
        <f t="shared" si="131"/>
        <v>27</v>
      </c>
      <c r="J265" s="18"/>
      <c r="K265" s="18"/>
      <c r="L265" s="62"/>
      <c r="M265" s="167"/>
      <c r="N265" s="62"/>
      <c r="O265" s="189"/>
      <c r="P265" s="184"/>
      <c r="Q265" s="189"/>
      <c r="R265" s="189"/>
      <c r="S265" s="189"/>
      <c r="T265" s="189"/>
      <c r="U265" s="189"/>
      <c r="V265" s="189"/>
      <c r="W265" s="211"/>
      <c r="X265" s="164"/>
      <c r="Y265" s="164"/>
      <c r="Z265" s="164"/>
      <c r="AA265" s="164"/>
      <c r="AB265" s="164"/>
      <c r="AD265" s="166"/>
      <c r="AE265" s="166"/>
      <c r="AF265" s="166"/>
      <c r="AG265" s="166"/>
      <c r="AH265" s="166"/>
      <c r="AI265" s="166"/>
      <c r="AJ265" s="166"/>
      <c r="AK265" s="166"/>
      <c r="AL265" s="166"/>
      <c r="AM265" s="166"/>
      <c r="AN265" s="166"/>
      <c r="AO265" s="166"/>
    </row>
    <row r="266" spans="1:41" s="38" customFormat="1">
      <c r="A266" s="49"/>
      <c r="B266" s="49"/>
      <c r="C266" s="49"/>
      <c r="D266" s="49"/>
      <c r="E266" s="49"/>
      <c r="F266" s="18"/>
      <c r="G266" s="18"/>
      <c r="H266" s="34">
        <f t="shared" si="131"/>
        <v>28</v>
      </c>
      <c r="J266" s="17"/>
      <c r="K266" s="18"/>
      <c r="L266" s="62"/>
      <c r="M266" s="167"/>
      <c r="N266" s="62"/>
      <c r="O266" s="192" t="str">
        <f>+O243&amp;";"&amp;O245</f>
        <v>40000;0,5</v>
      </c>
      <c r="P266" s="212"/>
      <c r="Q266" s="192" t="str">
        <f t="shared" ref="Q266:U266" si="152">+Q243&amp;";"&amp;Q245</f>
        <v>60000;0,5</v>
      </c>
      <c r="R266" s="192" t="str">
        <f t="shared" si="152"/>
        <v>55000;0,5</v>
      </c>
      <c r="S266" s="192" t="str">
        <f t="shared" si="152"/>
        <v>45000;0,5</v>
      </c>
      <c r="T266" s="192" t="str">
        <f t="shared" si="152"/>
        <v>40000;0,5</v>
      </c>
      <c r="U266" s="192" t="str">
        <f t="shared" si="152"/>
        <v>35000;0,5</v>
      </c>
      <c r="V266" s="192"/>
      <c r="W266" s="32"/>
      <c r="X266" s="62"/>
      <c r="Y266" s="62"/>
      <c r="Z266" s="62"/>
      <c r="AA266" s="62"/>
      <c r="AB266" s="62"/>
      <c r="AD266" s="166"/>
      <c r="AE266" s="166"/>
      <c r="AF266" s="166"/>
      <c r="AG266" s="166"/>
      <c r="AH266" s="166"/>
      <c r="AI266" s="166"/>
      <c r="AJ266" s="166"/>
      <c r="AK266" s="166"/>
      <c r="AL266" s="166"/>
      <c r="AM266" s="166"/>
      <c r="AN266" s="166"/>
      <c r="AO266" s="166"/>
    </row>
    <row r="267" spans="1:41" s="38" customFormat="1" ht="12.75" customHeight="1">
      <c r="A267" s="49"/>
      <c r="B267" s="49"/>
      <c r="C267" s="49"/>
      <c r="D267" s="49"/>
      <c r="E267" s="49"/>
      <c r="F267" s="18"/>
      <c r="G267" s="18"/>
      <c r="H267" s="34">
        <f t="shared" si="131"/>
        <v>29</v>
      </c>
      <c r="J267" s="18"/>
      <c r="K267" s="18"/>
      <c r="L267" s="62"/>
      <c r="M267" s="167"/>
      <c r="N267" s="62"/>
      <c r="O267" s="194">
        <f>+O262/O243*1000</f>
        <v>636.41808478230905</v>
      </c>
      <c r="P267" s="180" t="s">
        <v>84</v>
      </c>
      <c r="Q267" s="194">
        <f t="shared" ref="Q267:U267" si="153">+Q262/Q243*1000</f>
        <v>505.09868450057485</v>
      </c>
      <c r="R267" s="194">
        <f t="shared" si="153"/>
        <v>529.9002395681398</v>
      </c>
      <c r="S267" s="194">
        <f t="shared" si="153"/>
        <v>595.45671308214389</v>
      </c>
      <c r="T267" s="194">
        <f t="shared" si="153"/>
        <v>636.41808478230905</v>
      </c>
      <c r="U267" s="194">
        <f t="shared" si="153"/>
        <v>679.53380909538021</v>
      </c>
      <c r="V267" s="194"/>
      <c r="W267" s="32"/>
      <c r="X267" s="62"/>
      <c r="Y267" s="62"/>
      <c r="Z267" s="62"/>
      <c r="AA267" s="62"/>
      <c r="AB267" s="62"/>
      <c r="AD267" s="166"/>
      <c r="AE267" s="166"/>
      <c r="AF267" s="166"/>
      <c r="AG267" s="166"/>
      <c r="AH267" s="166"/>
      <c r="AI267" s="166"/>
      <c r="AJ267" s="166"/>
      <c r="AK267" s="166"/>
      <c r="AL267" s="166"/>
      <c r="AM267" s="166"/>
      <c r="AN267" s="166"/>
      <c r="AO267" s="166"/>
    </row>
    <row r="268" spans="1:41" s="38" customFormat="1">
      <c r="A268" s="49"/>
      <c r="B268" s="49"/>
      <c r="C268" s="49"/>
      <c r="D268" s="49"/>
      <c r="E268" s="49"/>
      <c r="F268" s="18"/>
      <c r="G268" s="18"/>
      <c r="H268" s="34">
        <f t="shared" si="131"/>
        <v>30</v>
      </c>
      <c r="J268" s="18"/>
      <c r="K268" s="18"/>
      <c r="L268" s="62"/>
      <c r="M268" s="167"/>
      <c r="N268" s="62"/>
      <c r="O268" s="194">
        <f>+O267*O263/O262</f>
        <v>603.87308224065907</v>
      </c>
      <c r="P268" s="180" t="s">
        <v>83</v>
      </c>
      <c r="Q268" s="194">
        <f t="shared" ref="Q268:U268" si="154">+Q267*Q263/Q262</f>
        <v>479.9167734942418</v>
      </c>
      <c r="R268" s="194">
        <f t="shared" si="154"/>
        <v>503.37958464629452</v>
      </c>
      <c r="S268" s="194">
        <f t="shared" si="154"/>
        <v>565.3660743855994</v>
      </c>
      <c r="T268" s="194">
        <f t="shared" si="154"/>
        <v>603.87308224065907</v>
      </c>
      <c r="U268" s="194">
        <f t="shared" si="154"/>
        <v>644.20274696476474</v>
      </c>
      <c r="V268" s="194"/>
      <c r="W268" s="32"/>
      <c r="X268" s="62"/>
      <c r="Y268" s="62"/>
      <c r="Z268" s="62"/>
      <c r="AA268" s="62"/>
      <c r="AB268" s="62"/>
      <c r="AD268" s="166"/>
      <c r="AE268" s="166"/>
      <c r="AF268" s="166"/>
      <c r="AG268" s="166"/>
      <c r="AH268" s="166"/>
      <c r="AI268" s="166"/>
      <c r="AJ268" s="166"/>
      <c r="AK268" s="166"/>
      <c r="AL268" s="166"/>
      <c r="AM268" s="166"/>
      <c r="AN268" s="166"/>
      <c r="AO268" s="166"/>
    </row>
    <row r="269" spans="1:41" s="38" customFormat="1">
      <c r="A269" s="49"/>
      <c r="B269" s="49"/>
      <c r="C269" s="49"/>
      <c r="D269" s="49"/>
      <c r="E269" s="49"/>
      <c r="F269" s="18"/>
      <c r="G269" s="18"/>
      <c r="H269" s="34">
        <f t="shared" si="131"/>
        <v>31</v>
      </c>
      <c r="J269" s="18"/>
      <c r="K269" s="18"/>
      <c r="L269" s="62"/>
      <c r="M269" s="167"/>
      <c r="N269" s="62"/>
      <c r="O269" s="194">
        <f>+O267*O264/O262</f>
        <v>528.66515761687185</v>
      </c>
      <c r="P269" s="180" t="s">
        <v>82</v>
      </c>
      <c r="Q269" s="194">
        <f t="shared" ref="Q269:U269" si="155">+Q267*Q264/Q262</f>
        <v>421.72414430567488</v>
      </c>
      <c r="R269" s="194">
        <f t="shared" si="155"/>
        <v>442.09326537859658</v>
      </c>
      <c r="S269" s="194">
        <f t="shared" si="155"/>
        <v>495.82991490688568</v>
      </c>
      <c r="T269" s="194">
        <f t="shared" si="155"/>
        <v>528.66515761687185</v>
      </c>
      <c r="U269" s="194">
        <f t="shared" si="155"/>
        <v>562.55654478066299</v>
      </c>
      <c r="V269" s="194"/>
      <c r="W269" s="32"/>
      <c r="X269" s="62"/>
      <c r="Y269" s="62"/>
      <c r="Z269" s="62"/>
      <c r="AA269" s="62"/>
      <c r="AB269" s="62"/>
      <c r="AD269" s="166"/>
      <c r="AE269" s="166"/>
      <c r="AF269" s="166"/>
      <c r="AG269" s="166"/>
      <c r="AH269" s="166"/>
      <c r="AI269" s="166"/>
      <c r="AJ269" s="166"/>
      <c r="AK269" s="166"/>
      <c r="AL269" s="166"/>
      <c r="AM269" s="166"/>
      <c r="AN269" s="166"/>
      <c r="AO269" s="166"/>
    </row>
    <row r="270" spans="1:41" s="38" customFormat="1">
      <c r="A270" s="49"/>
      <c r="B270" s="49"/>
      <c r="C270" s="49"/>
      <c r="D270" s="49"/>
      <c r="E270" s="49"/>
      <c r="F270" s="18"/>
      <c r="G270" s="18"/>
      <c r="H270" s="34">
        <f t="shared" si="131"/>
        <v>32</v>
      </c>
      <c r="J270" s="18"/>
      <c r="K270" s="18"/>
      <c r="L270" s="62"/>
      <c r="M270" s="167"/>
      <c r="N270" s="62"/>
      <c r="O270" s="194">
        <f>+O267-O269</f>
        <v>107.7529271654372</v>
      </c>
      <c r="P270" s="180" t="s">
        <v>81</v>
      </c>
      <c r="Q270" s="194">
        <f t="shared" ref="Q270:U270" si="156">+Q267-Q269</f>
        <v>83.374540194899964</v>
      </c>
      <c r="R270" s="194">
        <f t="shared" si="156"/>
        <v>87.806974189543212</v>
      </c>
      <c r="S270" s="194">
        <f t="shared" si="156"/>
        <v>99.626798175258216</v>
      </c>
      <c r="T270" s="194">
        <f t="shared" si="156"/>
        <v>107.7529271654372</v>
      </c>
      <c r="U270" s="194">
        <f t="shared" si="156"/>
        <v>116.97726431471722</v>
      </c>
      <c r="V270" s="194"/>
      <c r="W270" s="32"/>
      <c r="X270" s="62"/>
      <c r="Y270" s="62"/>
      <c r="Z270" s="62"/>
      <c r="AA270" s="62"/>
      <c r="AB270" s="62"/>
      <c r="AD270" s="166"/>
      <c r="AE270" s="166"/>
      <c r="AF270" s="166"/>
      <c r="AG270" s="166"/>
      <c r="AH270" s="166"/>
      <c r="AI270" s="166"/>
      <c r="AJ270" s="166"/>
      <c r="AK270" s="166"/>
      <c r="AL270" s="166"/>
      <c r="AM270" s="166"/>
      <c r="AN270" s="166"/>
      <c r="AO270" s="166"/>
    </row>
    <row r="271" spans="1:41" s="38" customFormat="1">
      <c r="A271" s="49"/>
      <c r="B271" s="49"/>
      <c r="C271" s="49"/>
      <c r="D271" s="49"/>
      <c r="E271" s="49"/>
      <c r="F271" s="18"/>
      <c r="G271" s="17"/>
      <c r="H271" s="34">
        <f t="shared" si="131"/>
        <v>33</v>
      </c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32"/>
      <c r="X271" s="62"/>
      <c r="Y271" s="62"/>
      <c r="Z271" s="62"/>
      <c r="AA271" s="62"/>
      <c r="AB271" s="62"/>
      <c r="AD271" s="166"/>
      <c r="AE271" s="166"/>
      <c r="AF271" s="166"/>
      <c r="AG271" s="166"/>
      <c r="AH271" s="166"/>
      <c r="AI271" s="166"/>
      <c r="AJ271" s="166"/>
      <c r="AK271" s="166"/>
      <c r="AL271" s="166"/>
      <c r="AM271" s="166"/>
      <c r="AN271" s="166"/>
      <c r="AO271" s="166"/>
    </row>
    <row r="272" spans="1:41" s="38" customFormat="1">
      <c r="A272" s="49" t="s">
        <v>15</v>
      </c>
      <c r="B272" s="49"/>
      <c r="C272" s="49"/>
      <c r="D272" s="49"/>
      <c r="E272" s="49"/>
      <c r="F272" s="18">
        <v>1000</v>
      </c>
      <c r="G272" s="18"/>
      <c r="H272" s="34">
        <f t="shared" si="131"/>
        <v>34</v>
      </c>
      <c r="J272" s="196" t="s">
        <v>80</v>
      </c>
      <c r="K272" s="18"/>
      <c r="L272" s="62"/>
      <c r="M272" s="167"/>
      <c r="N272" s="213"/>
      <c r="O272" s="197">
        <v>644</v>
      </c>
      <c r="P272" s="196" t="str">
        <f>P273</f>
        <v>Odkupna cena; vir podatkov SURS; preračuni KIS</v>
      </c>
      <c r="Q272" s="197">
        <v>644</v>
      </c>
      <c r="R272" s="197">
        <v>644</v>
      </c>
      <c r="S272" s="197">
        <v>644</v>
      </c>
      <c r="T272" s="197">
        <v>644</v>
      </c>
      <c r="U272" s="197">
        <v>644</v>
      </c>
      <c r="V272" s="197"/>
      <c r="W272" s="201"/>
      <c r="X272" s="164"/>
      <c r="Y272" s="164"/>
      <c r="Z272" s="164"/>
      <c r="AA272" s="164"/>
      <c r="AB272" s="164"/>
      <c r="AD272" s="166"/>
      <c r="AE272" s="166"/>
      <c r="AF272" s="166"/>
      <c r="AG272" s="166"/>
      <c r="AH272" s="166"/>
      <c r="AI272" s="166"/>
      <c r="AJ272" s="166"/>
      <c r="AK272" s="166"/>
      <c r="AL272" s="166"/>
      <c r="AM272" s="166"/>
      <c r="AN272" s="166"/>
      <c r="AO272" s="166"/>
    </row>
    <row r="273" spans="1:41" s="38" customFormat="1">
      <c r="A273" s="49"/>
      <c r="B273" s="49"/>
      <c r="C273" s="49"/>
      <c r="D273" s="49"/>
      <c r="E273" s="49"/>
      <c r="F273" s="18"/>
      <c r="G273" s="17"/>
      <c r="H273" s="34">
        <f t="shared" si="131"/>
        <v>35</v>
      </c>
      <c r="J273" s="198" t="str">
        <f>+J236</f>
        <v>Bruto dodana vrednost</v>
      </c>
      <c r="K273" s="18"/>
      <c r="L273" s="164"/>
      <c r="M273" s="165"/>
      <c r="N273" s="164"/>
      <c r="O273" s="199">
        <f>O261+O260+O248-O246</f>
        <v>15470.405338508901</v>
      </c>
      <c r="P273" s="195" t="s">
        <v>80</v>
      </c>
      <c r="Q273" s="199">
        <f t="shared" ref="Q273:U273" si="157">Q261+Q260+Q248-Q246</f>
        <v>25485.503457894716</v>
      </c>
      <c r="R273" s="199">
        <f t="shared" si="157"/>
        <v>22931.649550235772</v>
      </c>
      <c r="S273" s="199">
        <f t="shared" si="157"/>
        <v>17849.678371167851</v>
      </c>
      <c r="T273" s="199">
        <f t="shared" si="157"/>
        <v>15470.405338508901</v>
      </c>
      <c r="U273" s="199">
        <f t="shared" si="157"/>
        <v>13290.789915660829</v>
      </c>
      <c r="V273" s="199"/>
      <c r="W273" s="32"/>
      <c r="X273" s="62"/>
      <c r="Y273" s="62"/>
      <c r="Z273" s="62"/>
      <c r="AA273" s="62"/>
      <c r="AB273" s="62"/>
      <c r="AD273" s="166"/>
      <c r="AE273" s="166"/>
      <c r="AF273" s="166"/>
      <c r="AG273" s="166"/>
      <c r="AH273" s="166"/>
      <c r="AI273" s="166"/>
      <c r="AJ273" s="166"/>
      <c r="AK273" s="166"/>
      <c r="AL273" s="166"/>
      <c r="AM273" s="166"/>
      <c r="AN273" s="166"/>
      <c r="AO273" s="166"/>
    </row>
    <row r="274" spans="1:41" s="38" customFormat="1">
      <c r="A274" s="112" t="s">
        <v>11</v>
      </c>
      <c r="B274" s="49"/>
      <c r="C274" s="49"/>
      <c r="D274" s="49"/>
      <c r="E274" s="49"/>
      <c r="F274" s="18"/>
      <c r="G274" s="62"/>
      <c r="H274" s="34">
        <f t="shared" si="131"/>
        <v>36</v>
      </c>
      <c r="J274" s="182" t="s">
        <v>11</v>
      </c>
      <c r="K274" s="46"/>
      <c r="L274" s="62"/>
      <c r="M274" s="167"/>
      <c r="N274" s="62"/>
      <c r="O274" s="35">
        <v>4749.3874500754873</v>
      </c>
      <c r="P274" s="42"/>
      <c r="Q274" s="35">
        <v>5176.3153773146632</v>
      </c>
      <c r="R274" s="35">
        <v>5069.5833955048683</v>
      </c>
      <c r="S274" s="35">
        <v>4856.1194318852813</v>
      </c>
      <c r="T274" s="35">
        <v>4749.3874500754873</v>
      </c>
      <c r="U274" s="35">
        <v>4609.3548515104803</v>
      </c>
      <c r="V274" s="159"/>
      <c r="W274" s="201"/>
      <c r="X274" s="164"/>
      <c r="Y274" s="164"/>
      <c r="Z274" s="164"/>
      <c r="AA274" s="164"/>
      <c r="AB274" s="164"/>
      <c r="AD274" s="166"/>
      <c r="AE274" s="166"/>
      <c r="AF274" s="166"/>
      <c r="AG274" s="166"/>
      <c r="AH274" s="166"/>
      <c r="AI274" s="166"/>
      <c r="AJ274" s="166"/>
      <c r="AK274" s="166"/>
      <c r="AL274" s="166"/>
      <c r="AM274" s="166"/>
      <c r="AN274" s="166"/>
      <c r="AO274" s="166"/>
    </row>
    <row r="275" spans="1:41" s="38" customFormat="1">
      <c r="A275" s="49"/>
      <c r="B275" s="49"/>
      <c r="C275" s="49"/>
      <c r="D275" s="49"/>
      <c r="E275" s="49"/>
      <c r="F275" s="18"/>
      <c r="G275" s="62"/>
      <c r="H275" s="34">
        <f t="shared" si="131"/>
        <v>37</v>
      </c>
      <c r="J275" s="18" t="s">
        <v>157</v>
      </c>
      <c r="K275" s="46"/>
      <c r="L275" s="62"/>
      <c r="M275" s="167"/>
      <c r="N275" s="62"/>
      <c r="O275" s="220">
        <f>+O273-O274</f>
        <v>10721.017888433413</v>
      </c>
      <c r="P275" s="42"/>
      <c r="Q275" s="220">
        <f t="shared" ref="Q275:U275" si="158">+Q273-Q274</f>
        <v>20309.188080580054</v>
      </c>
      <c r="R275" s="220">
        <f t="shared" si="158"/>
        <v>17862.066154730903</v>
      </c>
      <c r="S275" s="220">
        <f t="shared" si="158"/>
        <v>12993.55893928257</v>
      </c>
      <c r="T275" s="220">
        <f t="shared" si="158"/>
        <v>10721.017888433413</v>
      </c>
      <c r="U275" s="220">
        <f t="shared" si="158"/>
        <v>8681.4350641503479</v>
      </c>
      <c r="V275" s="159"/>
      <c r="W275" s="201"/>
      <c r="X275" s="164"/>
      <c r="Y275" s="164"/>
      <c r="Z275" s="164"/>
      <c r="AA275" s="164"/>
      <c r="AB275" s="164"/>
      <c r="AD275" s="166"/>
      <c r="AE275" s="166"/>
      <c r="AF275" s="166"/>
      <c r="AG275" s="166"/>
      <c r="AH275" s="166"/>
      <c r="AI275" s="166"/>
      <c r="AJ275" s="166"/>
      <c r="AK275" s="166"/>
      <c r="AL275" s="166"/>
      <c r="AM275" s="166"/>
      <c r="AN275" s="166"/>
      <c r="AO275" s="166"/>
    </row>
    <row r="276" spans="1:41" s="38" customFormat="1">
      <c r="A276" s="49"/>
      <c r="B276" s="49"/>
      <c r="C276" s="49"/>
      <c r="D276" s="49"/>
      <c r="E276" s="49"/>
      <c r="F276" s="18"/>
      <c r="G276" s="62"/>
      <c r="H276" s="61">
        <f>1</f>
        <v>1</v>
      </c>
      <c r="I276" s="61" t="str">
        <f>+J278</f>
        <v>Hruške namizne</v>
      </c>
      <c r="J276" s="60" t="s">
        <v>115</v>
      </c>
      <c r="K276" s="61"/>
      <c r="L276" s="61"/>
      <c r="M276" s="61"/>
      <c r="N276" s="61"/>
      <c r="O276" s="145" t="e">
        <f>O284-O296+O289-'2026'!#REF!</f>
        <v>#REF!</v>
      </c>
      <c r="P276" s="61"/>
      <c r="Q276" s="145" t="e">
        <f>Q284-Q296+Q289-'2026'!#REF!</f>
        <v>#REF!</v>
      </c>
      <c r="R276" s="145" t="e">
        <f>R284-R296+R289-'2026'!#REF!</f>
        <v>#REF!</v>
      </c>
      <c r="S276" s="145" t="e">
        <f>S284-S296+S289-'2026'!#REF!</f>
        <v>#REF!</v>
      </c>
      <c r="T276" s="145" t="e">
        <f>T284-T296+T289-'2026'!#REF!</f>
        <v>#REF!</v>
      </c>
      <c r="U276" s="145" t="e">
        <f>U284-U296+U289-'2026'!#REF!</f>
        <v>#REF!</v>
      </c>
      <c r="V276" s="145"/>
      <c r="W276" s="61"/>
      <c r="X276" s="61"/>
      <c r="Y276" s="61"/>
      <c r="Z276" s="61"/>
      <c r="AA276" s="61"/>
      <c r="AB276" s="114"/>
      <c r="AD276" s="166"/>
      <c r="AE276" s="166"/>
      <c r="AF276" s="166"/>
      <c r="AG276" s="166"/>
      <c r="AH276" s="166"/>
      <c r="AI276" s="166"/>
      <c r="AJ276" s="166"/>
      <c r="AK276" s="166"/>
      <c r="AL276" s="166"/>
      <c r="AM276" s="166"/>
      <c r="AN276" s="166"/>
      <c r="AO276" s="166"/>
    </row>
    <row r="277" spans="1:41" s="38" customFormat="1">
      <c r="A277" s="49"/>
      <c r="B277" s="49"/>
      <c r="C277" s="49"/>
      <c r="D277" s="49"/>
      <c r="E277" s="49"/>
      <c r="G277" s="62"/>
      <c r="H277" s="34">
        <f>H276+1</f>
        <v>2</v>
      </c>
      <c r="I277" s="38" t="str">
        <f>+I276</f>
        <v>Hruške namizne</v>
      </c>
      <c r="J277" s="36" t="s">
        <v>116</v>
      </c>
      <c r="K277" s="37"/>
      <c r="L277" s="37"/>
      <c r="M277" s="148"/>
      <c r="N277" s="37"/>
      <c r="O277" s="204" t="e">
        <f>#REF!</f>
        <v>#REF!</v>
      </c>
      <c r="P277" s="204"/>
      <c r="Q277" s="149" t="s">
        <v>105</v>
      </c>
      <c r="R277" s="149" t="s">
        <v>172</v>
      </c>
      <c r="S277" s="149" t="s">
        <v>173</v>
      </c>
      <c r="T277" s="149" t="s">
        <v>104</v>
      </c>
      <c r="U277" s="149" t="s">
        <v>174</v>
      </c>
      <c r="V277" s="37"/>
      <c r="W277" s="37"/>
      <c r="X277" s="149"/>
      <c r="Y277" s="149"/>
      <c r="Z277" s="37"/>
      <c r="AA277" s="37"/>
      <c r="AB277" s="114"/>
      <c r="AD277" s="166"/>
      <c r="AE277" s="166"/>
      <c r="AF277" s="166"/>
      <c r="AG277" s="166"/>
      <c r="AH277" s="166"/>
      <c r="AI277" s="166"/>
      <c r="AJ277" s="166"/>
      <c r="AK277" s="166"/>
      <c r="AL277" s="166"/>
      <c r="AM277" s="166"/>
      <c r="AN277" s="166"/>
      <c r="AO277" s="166"/>
    </row>
    <row r="278" spans="1:41" s="38" customFormat="1">
      <c r="A278" s="49"/>
      <c r="B278" s="49"/>
      <c r="C278" s="49"/>
      <c r="D278" s="49"/>
      <c r="E278" s="49"/>
      <c r="F278" s="116" t="e">
        <f>#REF!</f>
        <v>#REF!</v>
      </c>
      <c r="G278" s="62"/>
      <c r="H278" s="34">
        <f t="shared" ref="H278:H312" si="159">H277+1</f>
        <v>3</v>
      </c>
      <c r="I278" s="38" t="str">
        <f>+I277</f>
        <v>Hruške namizne</v>
      </c>
      <c r="J278" s="40" t="s">
        <v>192</v>
      </c>
      <c r="K278" s="18" t="str">
        <f>+K$56</f>
        <v>Enota</v>
      </c>
      <c r="L278" s="102"/>
      <c r="M278" s="150"/>
      <c r="N278" s="144"/>
      <c r="O278" s="107"/>
      <c r="P278" s="107"/>
      <c r="Q278" s="18"/>
      <c r="R278" s="18"/>
      <c r="S278" s="107">
        <v>2012</v>
      </c>
      <c r="T278" s="18"/>
      <c r="U278" s="107"/>
      <c r="X278" s="38" t="s">
        <v>180</v>
      </c>
      <c r="AD278" s="166"/>
      <c r="AE278" s="166"/>
      <c r="AF278" s="166"/>
      <c r="AG278" s="166"/>
      <c r="AH278" s="166"/>
      <c r="AI278" s="166"/>
      <c r="AJ278" s="166"/>
      <c r="AK278" s="166"/>
      <c r="AL278" s="166"/>
      <c r="AM278" s="166"/>
      <c r="AN278" s="166"/>
      <c r="AO278" s="166"/>
    </row>
    <row r="279" spans="1:41" s="38" customFormat="1">
      <c r="A279" s="49"/>
      <c r="B279" s="49"/>
      <c r="C279" s="49"/>
      <c r="D279" s="49"/>
      <c r="E279" s="49"/>
      <c r="F279" s="18"/>
      <c r="G279" s="62"/>
      <c r="H279" s="34">
        <f t="shared" si="159"/>
        <v>4</v>
      </c>
      <c r="I279" s="38" t="str">
        <f>+I278</f>
        <v>Hruške namizne</v>
      </c>
      <c r="J279" s="17" t="s">
        <v>65</v>
      </c>
      <c r="K279" s="18"/>
      <c r="L279" s="102"/>
      <c r="M279" s="150"/>
      <c r="N279" s="144"/>
      <c r="O279" s="107"/>
      <c r="P279" s="107"/>
      <c r="Q279" s="102" t="s">
        <v>68</v>
      </c>
      <c r="R279" s="102" t="s">
        <v>67</v>
      </c>
      <c r="S279" s="102" t="s">
        <v>66</v>
      </c>
      <c r="T279" s="102" t="s">
        <v>58</v>
      </c>
      <c r="U279" s="102" t="s">
        <v>76</v>
      </c>
      <c r="V279" s="102"/>
      <c r="W279" s="102"/>
      <c r="X279" s="144" t="str">
        <f>Q279</f>
        <v>M1</v>
      </c>
      <c r="Y279" s="102" t="str">
        <f>S279</f>
        <v>M3</v>
      </c>
      <c r="Z279" s="102"/>
      <c r="AA279" s="102"/>
      <c r="AD279" s="166"/>
      <c r="AE279" s="166"/>
      <c r="AF279" s="166"/>
      <c r="AG279" s="166"/>
      <c r="AH279" s="166"/>
      <c r="AI279" s="166"/>
      <c r="AJ279" s="166"/>
      <c r="AK279" s="166"/>
      <c r="AL279" s="166"/>
      <c r="AM279" s="166"/>
      <c r="AN279" s="166"/>
      <c r="AO279" s="166"/>
    </row>
    <row r="280" spans="1:41" s="38" customFormat="1">
      <c r="A280" s="49" t="s">
        <v>9</v>
      </c>
      <c r="B280" s="49"/>
      <c r="C280" s="49"/>
      <c r="D280" s="49"/>
      <c r="E280" s="49"/>
      <c r="F280" s="18"/>
      <c r="G280" s="62"/>
      <c r="H280" s="34">
        <f t="shared" si="159"/>
        <v>5</v>
      </c>
      <c r="I280" s="38" t="str">
        <f>+I279</f>
        <v>Hruške namizne</v>
      </c>
      <c r="J280" s="17" t="s">
        <v>8</v>
      </c>
      <c r="K280" s="18" t="s">
        <v>7</v>
      </c>
      <c r="L280" s="152"/>
      <c r="M280" s="205"/>
      <c r="N280" s="154"/>
      <c r="O280" s="159">
        <v>25000</v>
      </c>
      <c r="P280" s="18"/>
      <c r="Q280" s="159">
        <v>40000</v>
      </c>
      <c r="R280" s="159">
        <v>35000</v>
      </c>
      <c r="S280" s="159">
        <v>30000</v>
      </c>
      <c r="T280" s="159">
        <v>25000</v>
      </c>
      <c r="U280" s="159">
        <v>20000</v>
      </c>
      <c r="V280" s="159"/>
      <c r="W280" s="102"/>
      <c r="X280" s="147">
        <f>Q280/$T280*100</f>
        <v>160</v>
      </c>
      <c r="Y280" s="147">
        <f t="shared" ref="Y280:AB280" si="160">R280/$T280*100</f>
        <v>140</v>
      </c>
      <c r="Z280" s="147">
        <f t="shared" si="160"/>
        <v>120</v>
      </c>
      <c r="AA280" s="147">
        <f t="shared" si="160"/>
        <v>100</v>
      </c>
      <c r="AB280" s="147">
        <f t="shared" si="160"/>
        <v>80</v>
      </c>
      <c r="AD280" s="166"/>
      <c r="AE280" s="166"/>
      <c r="AF280" s="166"/>
      <c r="AG280" s="166"/>
      <c r="AH280" s="166"/>
      <c r="AI280" s="166"/>
      <c r="AJ280" s="166"/>
      <c r="AK280" s="166"/>
      <c r="AL280" s="166"/>
      <c r="AM280" s="166"/>
      <c r="AN280" s="166"/>
      <c r="AO280" s="166"/>
    </row>
    <row r="281" spans="1:41" s="38" customFormat="1">
      <c r="A281" s="49" t="s">
        <v>75</v>
      </c>
      <c r="B281" s="49"/>
      <c r="C281" s="49"/>
      <c r="D281" s="49"/>
      <c r="E281" s="49"/>
      <c r="F281" s="18"/>
      <c r="G281" s="62"/>
      <c r="H281" s="34">
        <f t="shared" si="159"/>
        <v>6</v>
      </c>
      <c r="J281" s="17"/>
      <c r="K281" s="18"/>
      <c r="L281" s="152"/>
      <c r="M281" s="205"/>
      <c r="N281" s="154"/>
      <c r="O281" s="152"/>
      <c r="P281" s="18"/>
      <c r="Q281" s="152"/>
      <c r="R281" s="152"/>
      <c r="S281" s="152"/>
      <c r="T281" s="152"/>
      <c r="U281" s="152"/>
      <c r="V281" s="152"/>
      <c r="W281" s="102"/>
      <c r="X281" s="102"/>
      <c r="Y281" s="102"/>
      <c r="Z281" s="102"/>
      <c r="AA281" s="102"/>
      <c r="AD281" s="166"/>
      <c r="AE281" s="166"/>
      <c r="AF281" s="166"/>
      <c r="AG281" s="166"/>
      <c r="AH281" s="166"/>
      <c r="AI281" s="166"/>
      <c r="AJ281" s="166"/>
      <c r="AK281" s="166"/>
      <c r="AL281" s="166"/>
      <c r="AM281" s="166"/>
      <c r="AN281" s="166"/>
      <c r="AO281" s="166"/>
    </row>
    <row r="282" spans="1:41" s="38" customFormat="1">
      <c r="A282" s="49" t="s">
        <v>72</v>
      </c>
      <c r="B282" s="49"/>
      <c r="C282" s="49"/>
      <c r="D282" s="49"/>
      <c r="E282" s="49"/>
      <c r="F282" s="18"/>
      <c r="G282" s="62"/>
      <c r="H282" s="34">
        <f t="shared" si="159"/>
        <v>7</v>
      </c>
      <c r="I282" s="38" t="str">
        <f>+I280</f>
        <v>Hruške namizne</v>
      </c>
      <c r="J282" s="17" t="s">
        <v>71</v>
      </c>
      <c r="K282" s="18" t="s">
        <v>70</v>
      </c>
      <c r="L282" s="102"/>
      <c r="M282" s="150"/>
      <c r="N282" s="144"/>
      <c r="O282" s="158">
        <v>0.5</v>
      </c>
      <c r="P282" s="159"/>
      <c r="Q282" s="158">
        <v>0.5</v>
      </c>
      <c r="R282" s="158">
        <v>0.5</v>
      </c>
      <c r="S282" s="158">
        <v>0.5</v>
      </c>
      <c r="T282" s="158">
        <v>0.5</v>
      </c>
      <c r="U282" s="158">
        <v>0.5</v>
      </c>
      <c r="V282" s="159"/>
      <c r="W282" s="102"/>
      <c r="X282" s="147"/>
      <c r="Y282" s="147"/>
      <c r="Z282" s="147"/>
      <c r="AA282" s="147"/>
      <c r="AD282" s="166"/>
      <c r="AE282" s="166"/>
      <c r="AF282" s="166"/>
      <c r="AG282" s="166"/>
      <c r="AH282" s="166"/>
      <c r="AI282" s="166"/>
      <c r="AJ282" s="166"/>
      <c r="AK282" s="166"/>
      <c r="AL282" s="166"/>
      <c r="AM282" s="166"/>
      <c r="AN282" s="166"/>
      <c r="AO282" s="166"/>
    </row>
    <row r="283" spans="1:41" s="38" customFormat="1">
      <c r="A283" s="112" t="s">
        <v>12</v>
      </c>
      <c r="B283" s="49"/>
      <c r="C283" s="49"/>
      <c r="D283" s="49"/>
      <c r="E283" s="49"/>
      <c r="F283" s="18"/>
      <c r="G283" s="62"/>
      <c r="H283" s="34">
        <f t="shared" si="159"/>
        <v>8</v>
      </c>
      <c r="I283" s="38" t="str">
        <f t="shared" ref="I283:I298" si="161">+I282</f>
        <v>Hruške namizne</v>
      </c>
      <c r="J283" s="17" t="str">
        <f>+J$61</f>
        <v>Kupljen material in storitve</v>
      </c>
      <c r="K283" s="18"/>
      <c r="L283" s="18"/>
      <c r="M283" s="136"/>
      <c r="N283" s="18"/>
      <c r="O283" s="159">
        <v>7793.2731770232449</v>
      </c>
      <c r="P283" s="18"/>
      <c r="Q283" s="159">
        <v>10520.932289301816</v>
      </c>
      <c r="R283" s="159">
        <v>9804.3861969607769</v>
      </c>
      <c r="S283" s="159">
        <v>8859.8103075642903</v>
      </c>
      <c r="T283" s="159">
        <v>7793.2731770232449</v>
      </c>
      <c r="U283" s="159">
        <v>6576.2372190821998</v>
      </c>
      <c r="V283" s="159"/>
      <c r="W283" s="152"/>
      <c r="X283" s="147">
        <f t="shared" ref="X283:X296" si="162">Q283/$T283*100</f>
        <v>135.00017323042744</v>
      </c>
      <c r="Y283" s="147">
        <f t="shared" ref="Y283:Y296" si="163">R283/$T283*100</f>
        <v>125.8057554798266</v>
      </c>
      <c r="Z283" s="147">
        <f t="shared" ref="Z283:Z296" si="164">S283/$T283*100</f>
        <v>113.6853553868161</v>
      </c>
      <c r="AA283" s="147">
        <f t="shared" ref="AA283:AA296" si="165">T283/$T283*100</f>
        <v>100</v>
      </c>
      <c r="AB283" s="147">
        <f t="shared" ref="AB283:AB296" si="166">U283/$T283*100</f>
        <v>84.383507028481844</v>
      </c>
      <c r="AD283" s="166"/>
      <c r="AE283" s="166"/>
      <c r="AF283" s="166"/>
      <c r="AG283" s="166"/>
      <c r="AH283" s="166"/>
      <c r="AI283" s="166"/>
      <c r="AJ283" s="166"/>
      <c r="AK283" s="166"/>
      <c r="AL283" s="166"/>
      <c r="AM283" s="166"/>
      <c r="AN283" s="166"/>
      <c r="AO283" s="166"/>
    </row>
    <row r="284" spans="1:41" s="38" customFormat="1">
      <c r="A284" s="49" t="s">
        <v>5</v>
      </c>
      <c r="B284" s="49"/>
      <c r="C284" s="49"/>
      <c r="D284" s="49"/>
      <c r="E284" s="49"/>
      <c r="F284" s="18"/>
      <c r="G284" s="62"/>
      <c r="H284" s="34">
        <f t="shared" si="159"/>
        <v>9</v>
      </c>
      <c r="I284" s="38" t="str">
        <f t="shared" si="161"/>
        <v>Hruške namizne</v>
      </c>
      <c r="J284" s="17" t="str">
        <f>+J$62</f>
        <v>Stroški skupaj</v>
      </c>
      <c r="K284" s="18" t="str">
        <f>+K$62</f>
        <v>EUR/ha</v>
      </c>
      <c r="L284" s="43"/>
      <c r="M284" s="214"/>
      <c r="N284" s="42"/>
      <c r="O284" s="159">
        <v>19655.511580946382</v>
      </c>
      <c r="P284" s="42"/>
      <c r="Q284" s="159">
        <v>24039.681824830204</v>
      </c>
      <c r="R284" s="159">
        <v>22795.669387832379</v>
      </c>
      <c r="S284" s="159">
        <v>21254.376942847794</v>
      </c>
      <c r="T284" s="159">
        <v>19655.511580946382</v>
      </c>
      <c r="U284" s="159">
        <v>17904.286900156178</v>
      </c>
      <c r="V284" s="159"/>
      <c r="W284" s="156"/>
      <c r="X284" s="147">
        <f t="shared" si="162"/>
        <v>122.3050426636249</v>
      </c>
      <c r="Y284" s="147">
        <f t="shared" si="163"/>
        <v>115.97596579439833</v>
      </c>
      <c r="Z284" s="147">
        <f t="shared" si="164"/>
        <v>108.13443779021918</v>
      </c>
      <c r="AA284" s="147">
        <f t="shared" si="165"/>
        <v>100</v>
      </c>
      <c r="AB284" s="147">
        <f t="shared" si="166"/>
        <v>91.090414138659199</v>
      </c>
      <c r="AD284" s="166"/>
      <c r="AE284" s="166"/>
      <c r="AF284" s="166"/>
      <c r="AG284" s="166"/>
      <c r="AH284" s="166"/>
      <c r="AI284" s="166"/>
      <c r="AJ284" s="166"/>
      <c r="AK284" s="166"/>
      <c r="AL284" s="166"/>
      <c r="AM284" s="166"/>
      <c r="AN284" s="166"/>
      <c r="AO284" s="166"/>
    </row>
    <row r="285" spans="1:41" s="38" customFormat="1">
      <c r="A285" s="49" t="s">
        <v>4</v>
      </c>
      <c r="B285" s="49"/>
      <c r="C285" s="49"/>
      <c r="D285" s="49"/>
      <c r="E285" s="49"/>
      <c r="F285" s="18"/>
      <c r="G285" s="62"/>
      <c r="H285" s="34">
        <f t="shared" si="159"/>
        <v>10</v>
      </c>
      <c r="I285" s="38" t="str">
        <f t="shared" si="161"/>
        <v>Hruške namizne</v>
      </c>
      <c r="J285" s="17" t="str">
        <f>+J$63</f>
        <v>Stranski pridelki</v>
      </c>
      <c r="K285" s="18" t="str">
        <f>+K$63</f>
        <v>EUR/ha</v>
      </c>
      <c r="L285" s="43"/>
      <c r="M285" s="214"/>
      <c r="N285" s="43"/>
      <c r="O285" s="159">
        <v>0</v>
      </c>
      <c r="P285" s="43"/>
      <c r="Q285" s="159">
        <v>0</v>
      </c>
      <c r="R285" s="159">
        <v>0</v>
      </c>
      <c r="S285" s="159">
        <v>0</v>
      </c>
      <c r="T285" s="159">
        <v>0</v>
      </c>
      <c r="U285" s="159">
        <v>0</v>
      </c>
      <c r="V285" s="159"/>
      <c r="W285" s="201"/>
      <c r="X285" s="147" t="e">
        <f t="shared" si="162"/>
        <v>#DIV/0!</v>
      </c>
      <c r="Y285" s="147" t="e">
        <f t="shared" si="163"/>
        <v>#DIV/0!</v>
      </c>
      <c r="Z285" s="147" t="e">
        <f t="shared" si="164"/>
        <v>#DIV/0!</v>
      </c>
      <c r="AA285" s="147" t="e">
        <f t="shared" si="165"/>
        <v>#DIV/0!</v>
      </c>
      <c r="AB285" s="147" t="e">
        <f t="shared" si="166"/>
        <v>#DIV/0!</v>
      </c>
      <c r="AD285" s="166"/>
      <c r="AE285" s="166"/>
      <c r="AF285" s="166"/>
      <c r="AG285" s="166"/>
      <c r="AH285" s="166"/>
      <c r="AI285" s="166"/>
      <c r="AJ285" s="166"/>
      <c r="AK285" s="166"/>
      <c r="AL285" s="166"/>
      <c r="AM285" s="166"/>
      <c r="AN285" s="166"/>
      <c r="AO285" s="166"/>
    </row>
    <row r="286" spans="1:41" s="38" customFormat="1">
      <c r="A286" s="49"/>
      <c r="B286" s="49"/>
      <c r="C286" s="49"/>
      <c r="D286" s="49"/>
      <c r="E286" s="49"/>
      <c r="F286" s="18"/>
      <c r="G286" s="62"/>
      <c r="H286" s="34">
        <f t="shared" si="159"/>
        <v>11</v>
      </c>
      <c r="I286" s="38" t="str">
        <f t="shared" si="161"/>
        <v>Hruške namizne</v>
      </c>
      <c r="J286" s="17" t="str">
        <f>+J$64</f>
        <v>Stroški glavnega pridelka</v>
      </c>
      <c r="K286" s="18" t="str">
        <f>+K$64</f>
        <v>EUR/ha</v>
      </c>
      <c r="L286" s="215"/>
      <c r="M286" s="214"/>
      <c r="N286" s="215"/>
      <c r="O286" s="169">
        <f>+O284-O285</f>
        <v>19655.511580946382</v>
      </c>
      <c r="P286" s="43"/>
      <c r="Q286" s="169">
        <f t="shared" ref="Q286:U286" si="167">+Q284-Q285</f>
        <v>24039.681824830204</v>
      </c>
      <c r="R286" s="169">
        <f t="shared" si="167"/>
        <v>22795.669387832379</v>
      </c>
      <c r="S286" s="169">
        <f t="shared" si="167"/>
        <v>21254.376942847794</v>
      </c>
      <c r="T286" s="169">
        <f t="shared" si="167"/>
        <v>19655.511580946382</v>
      </c>
      <c r="U286" s="169">
        <f t="shared" si="167"/>
        <v>17904.286900156178</v>
      </c>
      <c r="V286" s="169"/>
      <c r="W286" s="32"/>
      <c r="X286" s="147">
        <f t="shared" si="162"/>
        <v>122.3050426636249</v>
      </c>
      <c r="Y286" s="147">
        <f t="shared" si="163"/>
        <v>115.97596579439833</v>
      </c>
      <c r="Z286" s="147">
        <f t="shared" si="164"/>
        <v>108.13443779021918</v>
      </c>
      <c r="AA286" s="147">
        <f t="shared" si="165"/>
        <v>100</v>
      </c>
      <c r="AB286" s="147">
        <f t="shared" si="166"/>
        <v>91.090414138659199</v>
      </c>
      <c r="AD286" s="166"/>
      <c r="AE286" s="166"/>
      <c r="AF286" s="166"/>
      <c r="AG286" s="166"/>
      <c r="AH286" s="166"/>
      <c r="AI286" s="166"/>
      <c r="AJ286" s="166"/>
      <c r="AK286" s="166"/>
      <c r="AL286" s="166"/>
      <c r="AM286" s="166"/>
      <c r="AN286" s="166"/>
      <c r="AO286" s="166"/>
    </row>
    <row r="287" spans="1:41" s="38" customFormat="1">
      <c r="A287" s="49" t="s">
        <v>3</v>
      </c>
      <c r="B287" s="49" t="s">
        <v>0</v>
      </c>
      <c r="C287" s="49" t="s">
        <v>2</v>
      </c>
      <c r="D287" s="49" t="s">
        <v>1</v>
      </c>
      <c r="E287" s="49" t="s">
        <v>0</v>
      </c>
      <c r="F287" s="18"/>
      <c r="G287" s="62"/>
      <c r="H287" s="34">
        <f t="shared" si="159"/>
        <v>12</v>
      </c>
      <c r="I287" s="38" t="str">
        <f t="shared" si="161"/>
        <v>Hruške namizne</v>
      </c>
      <c r="J287" s="17" t="str">
        <f>+J$65</f>
        <v>Subvencije</v>
      </c>
      <c r="K287" s="18" t="str">
        <f>+K$65</f>
        <v>EUR/ha</v>
      </c>
      <c r="L287" s="43"/>
      <c r="M287" s="214"/>
      <c r="N287" s="43"/>
      <c r="O287" s="159">
        <v>23.94</v>
      </c>
      <c r="P287" s="43"/>
      <c r="Q287" s="159">
        <v>23.94</v>
      </c>
      <c r="R287" s="159">
        <v>23.94</v>
      </c>
      <c r="S287" s="159">
        <v>23.94</v>
      </c>
      <c r="T287" s="159">
        <v>23.94</v>
      </c>
      <c r="U287" s="159">
        <v>23.94</v>
      </c>
      <c r="V287" s="159"/>
      <c r="W287" s="32"/>
      <c r="X287" s="147">
        <f t="shared" si="162"/>
        <v>100</v>
      </c>
      <c r="Y287" s="147">
        <f t="shared" si="163"/>
        <v>100</v>
      </c>
      <c r="Z287" s="147">
        <f t="shared" si="164"/>
        <v>100</v>
      </c>
      <c r="AA287" s="147">
        <f t="shared" si="165"/>
        <v>100</v>
      </c>
      <c r="AB287" s="147">
        <f t="shared" si="166"/>
        <v>100</v>
      </c>
      <c r="AD287" s="166"/>
      <c r="AE287" s="166"/>
      <c r="AF287" s="166"/>
      <c r="AG287" s="166"/>
      <c r="AH287" s="166"/>
      <c r="AI287" s="166"/>
      <c r="AJ287" s="166"/>
      <c r="AK287" s="166"/>
      <c r="AL287" s="166"/>
      <c r="AM287" s="166"/>
      <c r="AN287" s="166"/>
      <c r="AO287" s="166"/>
    </row>
    <row r="288" spans="1:41" s="38" customFormat="1">
      <c r="A288" s="49"/>
      <c r="B288" s="49"/>
      <c r="C288" s="49" t="s">
        <v>6</v>
      </c>
      <c r="D288" s="49"/>
      <c r="E288" s="49"/>
      <c r="F288" s="18"/>
      <c r="G288" s="62"/>
      <c r="H288" s="34">
        <f t="shared" si="159"/>
        <v>13</v>
      </c>
      <c r="I288" s="38" t="str">
        <f t="shared" si="161"/>
        <v>Hruške namizne</v>
      </c>
      <c r="J288" s="17" t="str">
        <f>+J$66</f>
        <v>Stroški, zmanjšani za subvencije</v>
      </c>
      <c r="K288" s="18" t="str">
        <f>+K$66</f>
        <v>EUR/ha</v>
      </c>
      <c r="L288" s="215"/>
      <c r="M288" s="214"/>
      <c r="N288" s="215"/>
      <c r="O288" s="171">
        <f>+O286-O287</f>
        <v>19631.571580946384</v>
      </c>
      <c r="P288" s="43"/>
      <c r="Q288" s="171">
        <f t="shared" ref="Q288:U288" si="168">+Q286-Q287</f>
        <v>24015.741824830206</v>
      </c>
      <c r="R288" s="171">
        <f t="shared" si="168"/>
        <v>22771.72938783238</v>
      </c>
      <c r="S288" s="171">
        <f t="shared" si="168"/>
        <v>21230.436942847795</v>
      </c>
      <c r="T288" s="171">
        <f t="shared" si="168"/>
        <v>19631.571580946384</v>
      </c>
      <c r="U288" s="171">
        <f t="shared" si="168"/>
        <v>17880.346900156179</v>
      </c>
      <c r="V288" s="171"/>
      <c r="W288" s="32"/>
      <c r="X288" s="147">
        <f t="shared" si="162"/>
        <v>122.33224286607253</v>
      </c>
      <c r="Y288" s="147">
        <f t="shared" si="163"/>
        <v>115.99544791377635</v>
      </c>
      <c r="Z288" s="147">
        <f t="shared" si="164"/>
        <v>108.14435744641659</v>
      </c>
      <c r="AA288" s="147">
        <f t="shared" si="165"/>
        <v>100</v>
      </c>
      <c r="AB288" s="147">
        <f t="shared" si="166"/>
        <v>91.079549217089308</v>
      </c>
      <c r="AD288" s="166"/>
      <c r="AE288" s="166"/>
      <c r="AF288" s="166"/>
      <c r="AG288" s="166"/>
      <c r="AH288" s="166"/>
      <c r="AI288" s="166"/>
      <c r="AJ288" s="166"/>
      <c r="AK288" s="166"/>
      <c r="AL288" s="166"/>
      <c r="AM288" s="166"/>
      <c r="AN288" s="166"/>
      <c r="AO288" s="166"/>
    </row>
    <row r="289" spans="1:41" s="38" customFormat="1">
      <c r="A289" s="49"/>
      <c r="B289" s="49"/>
      <c r="C289" s="49"/>
      <c r="D289" s="49"/>
      <c r="E289" s="49"/>
      <c r="F289" s="18"/>
      <c r="G289" s="62"/>
      <c r="H289" s="34">
        <f t="shared" si="159"/>
        <v>14</v>
      </c>
      <c r="I289" s="38" t="str">
        <f t="shared" si="161"/>
        <v>Hruške namizne</v>
      </c>
      <c r="J289" s="17" t="str">
        <f>+J$67</f>
        <v>Stroški, zmanjšani za subvencije/kg</v>
      </c>
      <c r="K289" s="18" t="str">
        <f>+K$67</f>
        <v>EUR/kg</v>
      </c>
      <c r="L289" s="216"/>
      <c r="M289" s="217"/>
      <c r="N289" s="215"/>
      <c r="O289" s="177">
        <f>+O288/O280</f>
        <v>0.78526286323785532</v>
      </c>
      <c r="P289" s="218"/>
      <c r="Q289" s="177">
        <f t="shared" ref="Q289:U289" si="169">+Q288/Q280</f>
        <v>0.60039354562075509</v>
      </c>
      <c r="R289" s="177">
        <f t="shared" si="169"/>
        <v>0.65062083965235373</v>
      </c>
      <c r="S289" s="177">
        <f t="shared" si="169"/>
        <v>0.70768123142825978</v>
      </c>
      <c r="T289" s="177">
        <f t="shared" si="169"/>
        <v>0.78526286323785532</v>
      </c>
      <c r="U289" s="177">
        <f t="shared" si="169"/>
        <v>0.89401734500780894</v>
      </c>
      <c r="V289" s="177"/>
      <c r="W289" s="32"/>
      <c r="X289" s="147">
        <f t="shared" si="162"/>
        <v>76.457651791295334</v>
      </c>
      <c r="Y289" s="147">
        <f t="shared" si="163"/>
        <v>82.853891366983106</v>
      </c>
      <c r="Z289" s="147">
        <f t="shared" si="164"/>
        <v>90.120297872013836</v>
      </c>
      <c r="AA289" s="147">
        <f t="shared" si="165"/>
        <v>100</v>
      </c>
      <c r="AB289" s="147">
        <f t="shared" si="166"/>
        <v>113.84943652136164</v>
      </c>
      <c r="AD289" s="166"/>
      <c r="AE289" s="166"/>
      <c r="AF289" s="166"/>
      <c r="AG289" s="166"/>
      <c r="AH289" s="166"/>
      <c r="AI289" s="166"/>
      <c r="AJ289" s="166"/>
      <c r="AK289" s="166"/>
      <c r="AL289" s="166"/>
      <c r="AM289" s="166"/>
      <c r="AN289" s="166"/>
      <c r="AO289" s="166"/>
    </row>
    <row r="290" spans="1:41" s="38" customFormat="1">
      <c r="A290" s="49" t="s">
        <v>136</v>
      </c>
      <c r="B290" s="49"/>
      <c r="C290" s="49"/>
      <c r="D290" s="49"/>
      <c r="E290" s="49"/>
      <c r="F290" s="18"/>
      <c r="G290" s="62"/>
      <c r="H290" s="34">
        <f t="shared" si="159"/>
        <v>15</v>
      </c>
      <c r="I290" s="38" t="str">
        <f t="shared" si="161"/>
        <v>Hruške namizne</v>
      </c>
      <c r="J290" s="17" t="str">
        <f t="shared" ref="J290" si="170">+J253</f>
        <v>davek_a</v>
      </c>
      <c r="K290" s="18"/>
      <c r="L290" s="43"/>
      <c r="M290" s="214"/>
      <c r="N290" s="43"/>
      <c r="O290" s="35">
        <v>0</v>
      </c>
      <c r="P290" s="43"/>
      <c r="Q290" s="35">
        <v>0</v>
      </c>
      <c r="R290" s="35">
        <v>0</v>
      </c>
      <c r="S290" s="35">
        <v>0</v>
      </c>
      <c r="T290" s="35">
        <v>0</v>
      </c>
      <c r="U290" s="35">
        <v>0</v>
      </c>
      <c r="V290" s="35"/>
      <c r="W290" s="222"/>
      <c r="X290" s="147" t="e">
        <f t="shared" si="162"/>
        <v>#DIV/0!</v>
      </c>
      <c r="Y290" s="147" t="e">
        <f t="shared" si="163"/>
        <v>#DIV/0!</v>
      </c>
      <c r="Z290" s="147" t="e">
        <f t="shared" si="164"/>
        <v>#DIV/0!</v>
      </c>
      <c r="AA290" s="147" t="e">
        <f t="shared" si="165"/>
        <v>#DIV/0!</v>
      </c>
      <c r="AB290" s="147" t="e">
        <f t="shared" si="166"/>
        <v>#DIV/0!</v>
      </c>
      <c r="AD290" s="166"/>
      <c r="AE290" s="166"/>
      <c r="AF290" s="166"/>
      <c r="AG290" s="166"/>
      <c r="AH290" s="166"/>
      <c r="AI290" s="166"/>
      <c r="AJ290" s="166"/>
      <c r="AK290" s="166"/>
      <c r="AL290" s="166"/>
      <c r="AM290" s="166"/>
      <c r="AN290" s="166"/>
      <c r="AO290" s="166"/>
    </row>
    <row r="291" spans="1:41" s="38" customFormat="1">
      <c r="A291" s="18" t="s">
        <v>92</v>
      </c>
      <c r="B291" s="49"/>
      <c r="C291" s="49"/>
      <c r="D291" s="49"/>
      <c r="E291" s="49"/>
      <c r="F291" s="18"/>
      <c r="G291" s="62"/>
      <c r="H291" s="34">
        <f t="shared" si="159"/>
        <v>16</v>
      </c>
      <c r="I291" s="38" t="str">
        <f t="shared" si="161"/>
        <v>Hruške namizne</v>
      </c>
      <c r="J291" s="17" t="str">
        <f t="shared" ref="J291:J296" si="171">+A291</f>
        <v>Pokoj obvezno</v>
      </c>
      <c r="K291" s="18"/>
      <c r="L291" s="43"/>
      <c r="M291" s="214"/>
      <c r="N291" s="43"/>
      <c r="O291" s="35">
        <v>629.84304800939935</v>
      </c>
      <c r="P291" s="43"/>
      <c r="Q291" s="35">
        <v>732.77909813236636</v>
      </c>
      <c r="R291" s="35">
        <v>699.82590923376222</v>
      </c>
      <c r="S291" s="35">
        <v>662.79623690800338</v>
      </c>
      <c r="T291" s="35">
        <v>629.84304800939935</v>
      </c>
      <c r="U291" s="35">
        <v>596.88985911079556</v>
      </c>
      <c r="V291" s="35"/>
      <c r="W291" s="32"/>
      <c r="X291" s="147">
        <f t="shared" si="162"/>
        <v>116.34312714068899</v>
      </c>
      <c r="Y291" s="147">
        <f t="shared" si="163"/>
        <v>111.11115879512232</v>
      </c>
      <c r="Z291" s="147">
        <f t="shared" si="164"/>
        <v>105.23196834556667</v>
      </c>
      <c r="AA291" s="147">
        <f t="shared" si="165"/>
        <v>100</v>
      </c>
      <c r="AB291" s="147">
        <f t="shared" si="166"/>
        <v>94.768031654433372</v>
      </c>
      <c r="AD291" s="166"/>
      <c r="AE291" s="166"/>
      <c r="AF291" s="166"/>
      <c r="AG291" s="166"/>
      <c r="AH291" s="166"/>
      <c r="AI291" s="166"/>
      <c r="AJ291" s="166"/>
      <c r="AK291" s="166"/>
      <c r="AL291" s="166"/>
      <c r="AM291" s="166"/>
      <c r="AN291" s="166"/>
      <c r="AO291" s="166"/>
    </row>
    <row r="292" spans="1:41" s="38" customFormat="1">
      <c r="A292" s="18" t="s">
        <v>91</v>
      </c>
      <c r="B292" s="49"/>
      <c r="C292" s="49"/>
      <c r="D292" s="49"/>
      <c r="E292" s="49"/>
      <c r="F292" s="18"/>
      <c r="G292" s="18"/>
      <c r="H292" s="34">
        <f t="shared" si="159"/>
        <v>17</v>
      </c>
      <c r="I292" s="38" t="str">
        <f t="shared" si="161"/>
        <v>Hruške namizne</v>
      </c>
      <c r="J292" s="17" t="str">
        <f t="shared" si="171"/>
        <v>Zdrav obvezno</v>
      </c>
      <c r="K292" s="18"/>
      <c r="L292" s="42"/>
      <c r="M292" s="219"/>
      <c r="N292" s="42"/>
      <c r="O292" s="35">
        <v>369.3724713809961</v>
      </c>
      <c r="P292" s="42"/>
      <c r="Q292" s="35">
        <v>429.73948400149737</v>
      </c>
      <c r="R292" s="35">
        <v>410.41403322160636</v>
      </c>
      <c r="S292" s="35">
        <v>388.69792216088712</v>
      </c>
      <c r="T292" s="35">
        <v>369.3724713809961</v>
      </c>
      <c r="U292" s="35">
        <v>350.04702060110515</v>
      </c>
      <c r="V292" s="35"/>
      <c r="W292" s="32"/>
      <c r="X292" s="147">
        <f t="shared" si="162"/>
        <v>116.34312714068899</v>
      </c>
      <c r="Y292" s="147">
        <f t="shared" si="163"/>
        <v>111.11115879512232</v>
      </c>
      <c r="Z292" s="147">
        <f t="shared" si="164"/>
        <v>105.23196834556667</v>
      </c>
      <c r="AA292" s="147">
        <f t="shared" si="165"/>
        <v>100</v>
      </c>
      <c r="AB292" s="147">
        <f t="shared" si="166"/>
        <v>94.768031654433344</v>
      </c>
      <c r="AD292" s="166"/>
      <c r="AE292" s="166"/>
      <c r="AF292" s="166"/>
      <c r="AG292" s="166"/>
      <c r="AH292" s="166"/>
      <c r="AI292" s="166"/>
      <c r="AJ292" s="166"/>
      <c r="AK292" s="166"/>
      <c r="AL292" s="166"/>
      <c r="AM292" s="166"/>
      <c r="AN292" s="166"/>
      <c r="AO292" s="166"/>
    </row>
    <row r="293" spans="1:41" s="38" customFormat="1">
      <c r="A293" s="18" t="s">
        <v>90</v>
      </c>
      <c r="B293" s="49"/>
      <c r="C293" s="49"/>
      <c r="D293" s="49"/>
      <c r="E293" s="49"/>
      <c r="F293" s="18"/>
      <c r="G293" s="18"/>
      <c r="H293" s="34">
        <f t="shared" si="159"/>
        <v>18</v>
      </c>
      <c r="I293" s="38" t="str">
        <f t="shared" si="161"/>
        <v>Hruške namizne</v>
      </c>
      <c r="J293" s="17" t="str">
        <f t="shared" si="171"/>
        <v>Pokoj dodatno</v>
      </c>
      <c r="K293" s="18"/>
      <c r="L293" s="43"/>
      <c r="M293" s="214"/>
      <c r="N293" s="43"/>
      <c r="O293" s="35">
        <v>502.85287439560119</v>
      </c>
      <c r="P293" s="43"/>
      <c r="Q293" s="35">
        <v>585.03475898868339</v>
      </c>
      <c r="R293" s="35">
        <v>558.7256557755336</v>
      </c>
      <c r="S293" s="35">
        <v>529.16197760875104</v>
      </c>
      <c r="T293" s="35">
        <v>502.85287439560119</v>
      </c>
      <c r="U293" s="35">
        <v>476.54377118245122</v>
      </c>
      <c r="V293" s="35"/>
      <c r="W293" s="201"/>
      <c r="X293" s="147">
        <f t="shared" si="162"/>
        <v>116.34312714068899</v>
      </c>
      <c r="Y293" s="147">
        <f t="shared" si="163"/>
        <v>111.11115879512235</v>
      </c>
      <c r="Z293" s="147">
        <f t="shared" si="164"/>
        <v>105.23196834556666</v>
      </c>
      <c r="AA293" s="147">
        <f t="shared" si="165"/>
        <v>100</v>
      </c>
      <c r="AB293" s="147">
        <f t="shared" si="166"/>
        <v>94.768031654433344</v>
      </c>
      <c r="AD293" s="166"/>
      <c r="AE293" s="166"/>
      <c r="AF293" s="166"/>
      <c r="AG293" s="166"/>
      <c r="AH293" s="166"/>
      <c r="AI293" s="166"/>
      <c r="AJ293" s="166"/>
      <c r="AK293" s="166"/>
      <c r="AL293" s="166"/>
      <c r="AM293" s="166"/>
      <c r="AN293" s="166"/>
      <c r="AO293" s="166"/>
    </row>
    <row r="294" spans="1:41" s="38" customFormat="1">
      <c r="A294" s="18" t="s">
        <v>89</v>
      </c>
      <c r="B294" s="49"/>
      <c r="C294" s="49"/>
      <c r="D294" s="49"/>
      <c r="E294" s="49"/>
      <c r="F294" s="18"/>
      <c r="G294" s="18"/>
      <c r="H294" s="34">
        <f t="shared" si="159"/>
        <v>19</v>
      </c>
      <c r="I294" s="38" t="str">
        <f t="shared" si="161"/>
        <v>Hruške namizne</v>
      </c>
      <c r="J294" s="17" t="str">
        <f t="shared" si="171"/>
        <v>Zdrav dodatno</v>
      </c>
      <c r="K294" s="18"/>
      <c r="L294" s="42"/>
      <c r="M294" s="219"/>
      <c r="N294" s="42"/>
      <c r="O294" s="35">
        <v>294.8988792423234</v>
      </c>
      <c r="P294" s="42"/>
      <c r="Q294" s="35">
        <v>343.09457801336322</v>
      </c>
      <c r="R294" s="35">
        <v>327.66556199997399</v>
      </c>
      <c r="S294" s="35">
        <v>310.32789525571263</v>
      </c>
      <c r="T294" s="35">
        <v>294.8988792423234</v>
      </c>
      <c r="U294" s="35">
        <v>279.46986322893423</v>
      </c>
      <c r="V294" s="35"/>
      <c r="W294" s="32"/>
      <c r="X294" s="147">
        <f t="shared" si="162"/>
        <v>116.34312714068899</v>
      </c>
      <c r="Y294" s="147">
        <f t="shared" si="163"/>
        <v>111.11115879512232</v>
      </c>
      <c r="Z294" s="147">
        <f t="shared" si="164"/>
        <v>105.23196834556667</v>
      </c>
      <c r="AA294" s="147">
        <f t="shared" si="165"/>
        <v>100</v>
      </c>
      <c r="AB294" s="147">
        <f t="shared" si="166"/>
        <v>94.768031654433344</v>
      </c>
      <c r="AD294" s="166"/>
      <c r="AE294" s="166"/>
      <c r="AF294" s="166"/>
      <c r="AG294" s="166"/>
      <c r="AH294" s="166"/>
      <c r="AI294" s="166"/>
      <c r="AJ294" s="166"/>
      <c r="AK294" s="166"/>
      <c r="AL294" s="166"/>
      <c r="AM294" s="166"/>
      <c r="AN294" s="166"/>
      <c r="AO294" s="166"/>
    </row>
    <row r="295" spans="1:41" s="38" customFormat="1">
      <c r="A295" s="18" t="s">
        <v>88</v>
      </c>
      <c r="B295" s="49"/>
      <c r="C295" s="49"/>
      <c r="D295" s="49"/>
      <c r="E295" s="49"/>
      <c r="F295" s="18"/>
      <c r="G295" s="18"/>
      <c r="H295" s="34">
        <f t="shared" si="159"/>
        <v>20</v>
      </c>
      <c r="I295" s="38" t="str">
        <f t="shared" si="161"/>
        <v>Hruške namizne</v>
      </c>
      <c r="J295" s="17" t="str">
        <f t="shared" si="171"/>
        <v>Regresi</v>
      </c>
      <c r="K295" s="18"/>
      <c r="L295" s="43"/>
      <c r="M295" s="214"/>
      <c r="N295" s="43"/>
      <c r="O295" s="35">
        <v>1511.3255115753104</v>
      </c>
      <c r="P295" s="43"/>
      <c r="Q295" s="35">
        <v>1758.323361441732</v>
      </c>
      <c r="R295" s="35">
        <v>1679.2512890776381</v>
      </c>
      <c r="S295" s="35">
        <v>1590.3975839394043</v>
      </c>
      <c r="T295" s="35">
        <v>1511.3255115753104</v>
      </c>
      <c r="U295" s="35">
        <v>1432.2534392112175</v>
      </c>
      <c r="V295" s="35"/>
      <c r="W295" s="201"/>
      <c r="X295" s="147">
        <f t="shared" si="162"/>
        <v>116.34312714068902</v>
      </c>
      <c r="Y295" s="147">
        <f t="shared" si="163"/>
        <v>111.11115879512235</v>
      </c>
      <c r="Z295" s="147">
        <f t="shared" si="164"/>
        <v>105.23196834556667</v>
      </c>
      <c r="AA295" s="147">
        <f t="shared" si="165"/>
        <v>100</v>
      </c>
      <c r="AB295" s="147">
        <f t="shared" si="166"/>
        <v>94.768031654433386</v>
      </c>
      <c r="AD295" s="166"/>
      <c r="AE295" s="166"/>
      <c r="AF295" s="166"/>
      <c r="AG295" s="166"/>
      <c r="AH295" s="166"/>
      <c r="AI295" s="166"/>
      <c r="AJ295" s="166"/>
      <c r="AK295" s="166"/>
      <c r="AL295" s="166"/>
      <c r="AM295" s="166"/>
      <c r="AN295" s="166"/>
      <c r="AO295" s="166"/>
    </row>
    <row r="296" spans="1:41" s="38" customFormat="1">
      <c r="A296" s="49" t="s">
        <v>13</v>
      </c>
      <c r="B296" s="49"/>
      <c r="C296" s="49"/>
      <c r="D296" s="49"/>
      <c r="E296" s="49"/>
      <c r="F296" s="18"/>
      <c r="G296" s="18"/>
      <c r="H296" s="34">
        <f t="shared" si="159"/>
        <v>21</v>
      </c>
      <c r="I296" s="38" t="str">
        <f t="shared" si="161"/>
        <v>Hruške namizne</v>
      </c>
      <c r="J296" s="17" t="str">
        <f t="shared" si="171"/>
        <v>SUM element</v>
      </c>
      <c r="K296" s="18"/>
      <c r="L296" s="62"/>
      <c r="M296" s="167"/>
      <c r="N296" s="62"/>
      <c r="O296" s="159">
        <v>19655.511580946382</v>
      </c>
      <c r="P296" s="170"/>
      <c r="Q296" s="159">
        <v>24039.681824830201</v>
      </c>
      <c r="R296" s="159">
        <v>22795.669387832382</v>
      </c>
      <c r="S296" s="159">
        <v>21254.376942847794</v>
      </c>
      <c r="T296" s="159">
        <v>19655.511580946382</v>
      </c>
      <c r="U296" s="159">
        <v>17904.286900156174</v>
      </c>
      <c r="V296" s="159"/>
      <c r="W296" s="201"/>
      <c r="X296" s="147">
        <f t="shared" si="162"/>
        <v>122.30504266362487</v>
      </c>
      <c r="Y296" s="147">
        <f t="shared" si="163"/>
        <v>115.97596579439835</v>
      </c>
      <c r="Z296" s="147">
        <f t="shared" si="164"/>
        <v>108.13443779021918</v>
      </c>
      <c r="AA296" s="147">
        <f t="shared" si="165"/>
        <v>100</v>
      </c>
      <c r="AB296" s="147">
        <f t="shared" si="166"/>
        <v>91.09041413865917</v>
      </c>
      <c r="AD296" s="166"/>
      <c r="AE296" s="166"/>
      <c r="AF296" s="166"/>
      <c r="AG296" s="166"/>
      <c r="AH296" s="166"/>
      <c r="AI296" s="166"/>
      <c r="AJ296" s="166"/>
      <c r="AK296" s="166"/>
      <c r="AL296" s="166"/>
      <c r="AM296" s="166"/>
      <c r="AN296" s="166"/>
      <c r="AO296" s="166"/>
    </row>
    <row r="297" spans="1:41" s="38" customFormat="1">
      <c r="A297" s="49" t="s">
        <v>3</v>
      </c>
      <c r="B297" s="49" t="s">
        <v>0</v>
      </c>
      <c r="C297" s="49" t="s">
        <v>2</v>
      </c>
      <c r="D297" s="49" t="s">
        <v>1</v>
      </c>
      <c r="E297" s="49" t="s">
        <v>0</v>
      </c>
      <c r="F297" s="18"/>
      <c r="G297" s="18"/>
      <c r="H297" s="34">
        <f t="shared" si="159"/>
        <v>22</v>
      </c>
      <c r="I297" s="38" t="str">
        <f t="shared" si="161"/>
        <v>Hruške namizne</v>
      </c>
      <c r="J297" s="106" t="str">
        <f t="shared" ref="J297" si="172">+J260</f>
        <v>Subvencije</v>
      </c>
      <c r="K297" s="18"/>
      <c r="L297" s="62"/>
      <c r="M297" s="167"/>
      <c r="N297" s="62"/>
      <c r="O297" s="209">
        <v>23.94</v>
      </c>
      <c r="P297" s="210"/>
      <c r="Q297" s="209">
        <v>23.94</v>
      </c>
      <c r="R297" s="209">
        <v>23.94</v>
      </c>
      <c r="S297" s="209">
        <v>23.94</v>
      </c>
      <c r="T297" s="209">
        <v>23.94</v>
      </c>
      <c r="U297" s="209">
        <v>23.94</v>
      </c>
      <c r="V297" s="159"/>
      <c r="W297" s="201"/>
      <c r="X297" s="147"/>
      <c r="Y297" s="147"/>
      <c r="Z297" s="147"/>
      <c r="AA297" s="147"/>
      <c r="AB297" s="119"/>
      <c r="AD297" s="166"/>
      <c r="AE297" s="166"/>
      <c r="AF297" s="166"/>
      <c r="AG297" s="166"/>
      <c r="AH297" s="166"/>
      <c r="AI297" s="166"/>
      <c r="AJ297" s="166"/>
      <c r="AK297" s="166"/>
      <c r="AL297" s="166"/>
      <c r="AM297" s="166"/>
      <c r="AN297" s="166"/>
      <c r="AO297" s="166"/>
    </row>
    <row r="298" spans="1:41" s="38" customFormat="1" ht="24.75" customHeight="1">
      <c r="A298" s="112" t="s">
        <v>14</v>
      </c>
      <c r="B298" s="49"/>
      <c r="C298" s="49"/>
      <c r="D298" s="49"/>
      <c r="E298" s="49"/>
      <c r="F298" s="18"/>
      <c r="G298" s="18"/>
      <c r="H298" s="34">
        <f t="shared" si="159"/>
        <v>23</v>
      </c>
      <c r="I298" s="38" t="str">
        <f t="shared" si="161"/>
        <v>Hruške namizne</v>
      </c>
      <c r="J298" s="198" t="str">
        <f>+J261</f>
        <v>Vrednost pridelave_tržna</v>
      </c>
      <c r="K298" s="18"/>
      <c r="L298" s="62"/>
      <c r="M298" s="167"/>
      <c r="N298" s="62"/>
      <c r="O298" s="209">
        <v>39300</v>
      </c>
      <c r="P298" s="210"/>
      <c r="Q298" s="209">
        <v>62880</v>
      </c>
      <c r="R298" s="209">
        <v>55020</v>
      </c>
      <c r="S298" s="209">
        <v>47160</v>
      </c>
      <c r="T298" s="209">
        <v>39300</v>
      </c>
      <c r="U298" s="209">
        <v>31440</v>
      </c>
      <c r="V298" s="209"/>
      <c r="W298" s="201"/>
      <c r="X298" s="147"/>
      <c r="Y298" s="147"/>
      <c r="Z298" s="147"/>
      <c r="AA298" s="147"/>
      <c r="AB298" s="119"/>
      <c r="AD298" s="166"/>
      <c r="AE298" s="166"/>
      <c r="AF298" s="166"/>
      <c r="AG298" s="166"/>
      <c r="AH298" s="166"/>
      <c r="AI298" s="166"/>
      <c r="AJ298" s="166"/>
      <c r="AK298" s="166"/>
      <c r="AL298" s="166"/>
      <c r="AM298" s="166"/>
      <c r="AN298" s="166"/>
      <c r="AO298" s="166"/>
    </row>
    <row r="299" spans="1:41" s="38" customFormat="1">
      <c r="A299" s="49"/>
      <c r="B299" s="49"/>
      <c r="C299" s="49"/>
      <c r="D299" s="49"/>
      <c r="E299" s="49"/>
      <c r="F299" s="18"/>
      <c r="G299" s="51"/>
      <c r="H299" s="34">
        <f t="shared" si="159"/>
        <v>24</v>
      </c>
      <c r="J299" s="21"/>
      <c r="K299" s="46"/>
      <c r="L299" s="185"/>
      <c r="M299" s="186"/>
      <c r="N299" s="179"/>
      <c r="O299" s="187">
        <f>+O284-O297-O285</f>
        <v>19631.571580946384</v>
      </c>
      <c r="P299" s="62" t="s">
        <v>87</v>
      </c>
      <c r="Q299" s="187">
        <f t="shared" ref="Q299:U299" si="173">+Q284-Q297-Q285</f>
        <v>24015.741824830206</v>
      </c>
      <c r="R299" s="187">
        <f t="shared" si="173"/>
        <v>22771.72938783238</v>
      </c>
      <c r="S299" s="187">
        <f t="shared" si="173"/>
        <v>21230.436942847795</v>
      </c>
      <c r="T299" s="187">
        <f t="shared" si="173"/>
        <v>19631.571580946384</v>
      </c>
      <c r="U299" s="187">
        <f t="shared" si="173"/>
        <v>17880.346900156179</v>
      </c>
      <c r="V299" s="187"/>
      <c r="W299" s="201"/>
      <c r="X299" s="147"/>
      <c r="Y299" s="147"/>
      <c r="Z299" s="147"/>
      <c r="AA299" s="147"/>
      <c r="AB299" s="208"/>
      <c r="AD299" s="166"/>
      <c r="AE299" s="166"/>
      <c r="AF299" s="166"/>
      <c r="AG299" s="166"/>
      <c r="AH299" s="166"/>
      <c r="AI299" s="166"/>
      <c r="AJ299" s="166"/>
      <c r="AK299" s="166"/>
      <c r="AL299" s="166"/>
      <c r="AM299" s="166"/>
      <c r="AN299" s="166"/>
      <c r="AO299" s="166"/>
    </row>
    <row r="300" spans="1:41" s="38" customFormat="1">
      <c r="A300" s="49"/>
      <c r="B300" s="49"/>
      <c r="C300" s="49"/>
      <c r="D300" s="49"/>
      <c r="E300" s="49"/>
      <c r="F300" s="18"/>
      <c r="G300" s="46"/>
      <c r="H300" s="34">
        <f t="shared" si="159"/>
        <v>25</v>
      </c>
      <c r="J300" s="21"/>
      <c r="K300" s="46"/>
      <c r="L300" s="185"/>
      <c r="M300" s="186"/>
      <c r="N300" s="179"/>
      <c r="O300" s="187">
        <f>O299-O291-O292</f>
        <v>18632.356061555987</v>
      </c>
      <c r="P300" s="62" t="s">
        <v>86</v>
      </c>
      <c r="Q300" s="187">
        <f t="shared" ref="Q300:U300" si="174">Q299-Q291-Q292</f>
        <v>22853.223242696342</v>
      </c>
      <c r="R300" s="187">
        <f t="shared" si="174"/>
        <v>21661.489445377014</v>
      </c>
      <c r="S300" s="187">
        <f t="shared" si="174"/>
        <v>20178.942783778904</v>
      </c>
      <c r="T300" s="187">
        <f t="shared" si="174"/>
        <v>18632.356061555987</v>
      </c>
      <c r="U300" s="187">
        <f t="shared" si="174"/>
        <v>16933.410020444277</v>
      </c>
      <c r="V300" s="187"/>
      <c r="W300" s="211"/>
      <c r="X300" s="179"/>
      <c r="Y300" s="179"/>
      <c r="Z300" s="179"/>
      <c r="AA300" s="179"/>
      <c r="AB300" s="208"/>
      <c r="AD300" s="166"/>
      <c r="AE300" s="166"/>
      <c r="AF300" s="166"/>
      <c r="AG300" s="166"/>
      <c r="AH300" s="166"/>
      <c r="AI300" s="166"/>
      <c r="AJ300" s="166"/>
      <c r="AK300" s="166"/>
      <c r="AL300" s="166"/>
      <c r="AM300" s="166"/>
      <c r="AN300" s="166"/>
      <c r="AO300" s="166"/>
    </row>
    <row r="301" spans="1:41" s="38" customFormat="1">
      <c r="A301" s="49"/>
      <c r="B301" s="49"/>
      <c r="C301" s="49"/>
      <c r="D301" s="49"/>
      <c r="E301" s="49"/>
      <c r="F301" s="18"/>
      <c r="G301" s="17"/>
      <c r="H301" s="34">
        <f t="shared" si="159"/>
        <v>26</v>
      </c>
      <c r="J301" s="17"/>
      <c r="K301" s="18"/>
      <c r="L301" s="164"/>
      <c r="M301" s="165"/>
      <c r="N301" s="179"/>
      <c r="O301" s="187">
        <f>O300-O293-O294-O295</f>
        <v>16323.278796342753</v>
      </c>
      <c r="P301" s="62" t="s">
        <v>85</v>
      </c>
      <c r="Q301" s="187">
        <f t="shared" ref="Q301:U301" si="175">Q300-Q293-Q294-Q295</f>
        <v>20166.770544252562</v>
      </c>
      <c r="R301" s="187">
        <f t="shared" si="175"/>
        <v>19095.846938523868</v>
      </c>
      <c r="S301" s="187">
        <f t="shared" si="175"/>
        <v>17749.055326975038</v>
      </c>
      <c r="T301" s="187">
        <f t="shared" si="175"/>
        <v>16323.278796342753</v>
      </c>
      <c r="U301" s="187">
        <f t="shared" si="175"/>
        <v>14745.142946821672</v>
      </c>
      <c r="V301" s="187"/>
      <c r="W301" s="211"/>
      <c r="X301" s="179"/>
      <c r="Y301" s="179"/>
      <c r="Z301" s="179"/>
      <c r="AA301" s="179"/>
      <c r="AB301" s="223"/>
      <c r="AD301" s="166"/>
      <c r="AE301" s="166"/>
      <c r="AF301" s="166"/>
      <c r="AG301" s="166"/>
      <c r="AH301" s="166"/>
      <c r="AI301" s="166"/>
      <c r="AJ301" s="166"/>
      <c r="AK301" s="166"/>
      <c r="AL301" s="166"/>
      <c r="AM301" s="166"/>
      <c r="AN301" s="166"/>
      <c r="AO301" s="166"/>
    </row>
    <row r="302" spans="1:41" s="38" customFormat="1">
      <c r="A302" s="49"/>
      <c r="B302" s="49"/>
      <c r="C302" s="49"/>
      <c r="D302" s="49"/>
      <c r="E302" s="49"/>
      <c r="F302" s="18"/>
      <c r="G302" s="18"/>
      <c r="H302" s="34">
        <f t="shared" si="159"/>
        <v>27</v>
      </c>
      <c r="J302" s="18"/>
      <c r="K302" s="18"/>
      <c r="L302" s="62"/>
      <c r="M302" s="167"/>
      <c r="N302" s="62"/>
      <c r="O302" s="189"/>
      <c r="P302" s="184"/>
      <c r="Q302" s="189"/>
      <c r="R302" s="189"/>
      <c r="S302" s="189"/>
      <c r="T302" s="189"/>
      <c r="U302" s="189"/>
      <c r="V302" s="189"/>
      <c r="W302" s="211"/>
      <c r="X302" s="164"/>
      <c r="Y302" s="164"/>
      <c r="Z302" s="164"/>
      <c r="AA302" s="164"/>
      <c r="AB302" s="119"/>
      <c r="AD302" s="166"/>
      <c r="AE302" s="166"/>
      <c r="AF302" s="166"/>
      <c r="AG302" s="166"/>
      <c r="AH302" s="166"/>
      <c r="AI302" s="166"/>
      <c r="AJ302" s="166"/>
      <c r="AK302" s="166"/>
      <c r="AL302" s="166"/>
      <c r="AM302" s="166"/>
      <c r="AN302" s="166"/>
      <c r="AO302" s="166"/>
    </row>
    <row r="303" spans="1:41" s="38" customFormat="1">
      <c r="A303" s="49"/>
      <c r="B303" s="49"/>
      <c r="C303" s="49"/>
      <c r="D303" s="49"/>
      <c r="E303" s="49"/>
      <c r="F303" s="18"/>
      <c r="G303" s="18"/>
      <c r="H303" s="34">
        <f t="shared" si="159"/>
        <v>28</v>
      </c>
      <c r="J303" s="17"/>
      <c r="K303" s="18"/>
      <c r="L303" s="62"/>
      <c r="M303" s="167"/>
      <c r="N303" s="62"/>
      <c r="O303" s="192" t="str">
        <f>+O280&amp;";"&amp;O282</f>
        <v>25000;0,5</v>
      </c>
      <c r="P303" s="212"/>
      <c r="Q303" s="192" t="str">
        <f t="shared" ref="Q303:U303" si="176">+Q280&amp;";"&amp;Q282</f>
        <v>40000;0,5</v>
      </c>
      <c r="R303" s="192" t="str">
        <f t="shared" si="176"/>
        <v>35000;0,5</v>
      </c>
      <c r="S303" s="192" t="str">
        <f t="shared" si="176"/>
        <v>30000;0,5</v>
      </c>
      <c r="T303" s="192" t="str">
        <f t="shared" si="176"/>
        <v>25000;0,5</v>
      </c>
      <c r="U303" s="192" t="str">
        <f t="shared" si="176"/>
        <v>20000;0,5</v>
      </c>
      <c r="V303" s="192"/>
      <c r="W303" s="32"/>
      <c r="X303" s="62"/>
      <c r="Y303" s="62"/>
      <c r="Z303" s="62"/>
      <c r="AA303" s="62"/>
      <c r="AB303" s="119"/>
      <c r="AD303" s="166"/>
      <c r="AE303" s="166"/>
      <c r="AF303" s="166"/>
      <c r="AG303" s="166"/>
      <c r="AH303" s="166"/>
      <c r="AI303" s="166"/>
      <c r="AJ303" s="166"/>
      <c r="AK303" s="166"/>
      <c r="AL303" s="166"/>
      <c r="AM303" s="166"/>
      <c r="AN303" s="166"/>
      <c r="AO303" s="166"/>
    </row>
    <row r="304" spans="1:41" s="38" customFormat="1" ht="12.75" customHeight="1">
      <c r="A304" s="49"/>
      <c r="B304" s="49"/>
      <c r="C304" s="49"/>
      <c r="D304" s="49"/>
      <c r="E304" s="49"/>
      <c r="F304" s="18"/>
      <c r="G304" s="18"/>
      <c r="H304" s="34">
        <f t="shared" si="159"/>
        <v>29</v>
      </c>
      <c r="J304" s="18"/>
      <c r="K304" s="18"/>
      <c r="L304" s="62"/>
      <c r="M304" s="167"/>
      <c r="N304" s="62"/>
      <c r="O304" s="194">
        <f>+O299/O280*1000</f>
        <v>785.2628632378553</v>
      </c>
      <c r="P304" s="180" t="s">
        <v>84</v>
      </c>
      <c r="Q304" s="194">
        <f t="shared" ref="Q304:U304" si="177">+Q299/Q280*1000</f>
        <v>600.39354562075505</v>
      </c>
      <c r="R304" s="194">
        <f t="shared" si="177"/>
        <v>650.62083965235377</v>
      </c>
      <c r="S304" s="194">
        <f t="shared" si="177"/>
        <v>707.68123142825982</v>
      </c>
      <c r="T304" s="194">
        <f t="shared" si="177"/>
        <v>785.2628632378553</v>
      </c>
      <c r="U304" s="194">
        <f t="shared" si="177"/>
        <v>894.0173450078089</v>
      </c>
      <c r="V304" s="194"/>
      <c r="W304" s="32"/>
      <c r="X304" s="62"/>
      <c r="Y304" s="62"/>
      <c r="Z304" s="62"/>
      <c r="AA304" s="62"/>
      <c r="AB304" s="119"/>
      <c r="AD304" s="166"/>
      <c r="AE304" s="166"/>
      <c r="AF304" s="166"/>
      <c r="AG304" s="166"/>
      <c r="AH304" s="166"/>
      <c r="AI304" s="166"/>
      <c r="AJ304" s="166"/>
      <c r="AK304" s="166"/>
      <c r="AL304" s="166"/>
      <c r="AM304" s="166"/>
      <c r="AN304" s="166"/>
      <c r="AO304" s="166"/>
    </row>
    <row r="305" spans="1:41" s="38" customFormat="1">
      <c r="A305" s="49"/>
      <c r="B305" s="49"/>
      <c r="C305" s="49"/>
      <c r="D305" s="49"/>
      <c r="E305" s="49"/>
      <c r="F305" s="18"/>
      <c r="G305" s="18"/>
      <c r="H305" s="34">
        <f t="shared" si="159"/>
        <v>30</v>
      </c>
      <c r="J305" s="18"/>
      <c r="K305" s="18"/>
      <c r="L305" s="62"/>
      <c r="M305" s="167"/>
      <c r="N305" s="62"/>
      <c r="O305" s="194">
        <f>+O304*O300/O299</f>
        <v>745.29424246223948</v>
      </c>
      <c r="P305" s="180" t="s">
        <v>83</v>
      </c>
      <c r="Q305" s="194">
        <f t="shared" ref="Q305:U305" si="178">+Q304*Q300/Q299</f>
        <v>571.3305810674085</v>
      </c>
      <c r="R305" s="194">
        <f t="shared" si="178"/>
        <v>618.8996984393433</v>
      </c>
      <c r="S305" s="194">
        <f t="shared" si="178"/>
        <v>672.63142612596357</v>
      </c>
      <c r="T305" s="194">
        <f t="shared" si="178"/>
        <v>745.29424246223948</v>
      </c>
      <c r="U305" s="194">
        <f t="shared" si="178"/>
        <v>846.67050102221378</v>
      </c>
      <c r="V305" s="194"/>
      <c r="W305" s="32"/>
      <c r="X305" s="62"/>
      <c r="Y305" s="62"/>
      <c r="Z305" s="62"/>
      <c r="AA305" s="62"/>
      <c r="AB305" s="119"/>
      <c r="AD305" s="166"/>
      <c r="AE305" s="166"/>
      <c r="AF305" s="166"/>
      <c r="AG305" s="166"/>
      <c r="AH305" s="166"/>
      <c r="AI305" s="166"/>
      <c r="AJ305" s="166"/>
      <c r="AK305" s="166"/>
      <c r="AL305" s="166"/>
      <c r="AM305" s="166"/>
      <c r="AN305" s="166"/>
      <c r="AO305" s="166"/>
    </row>
    <row r="306" spans="1:41" s="38" customFormat="1">
      <c r="A306" s="49"/>
      <c r="B306" s="49"/>
      <c r="C306" s="49"/>
      <c r="D306" s="49"/>
      <c r="E306" s="49"/>
      <c r="F306" s="18"/>
      <c r="G306" s="18"/>
      <c r="H306" s="34">
        <f t="shared" si="159"/>
        <v>31</v>
      </c>
      <c r="J306" s="18"/>
      <c r="K306" s="18"/>
      <c r="L306" s="62"/>
      <c r="M306" s="167"/>
      <c r="N306" s="62"/>
      <c r="O306" s="194">
        <f>+O304*O301/O299</f>
        <v>652.93115185371005</v>
      </c>
      <c r="P306" s="180" t="s">
        <v>82</v>
      </c>
      <c r="Q306" s="194">
        <f t="shared" ref="Q306:U306" si="179">+Q304*Q301/Q299</f>
        <v>504.16926360631396</v>
      </c>
      <c r="R306" s="194">
        <f t="shared" si="179"/>
        <v>545.59562681496766</v>
      </c>
      <c r="S306" s="194">
        <f t="shared" si="179"/>
        <v>591.63517756583462</v>
      </c>
      <c r="T306" s="194">
        <f t="shared" si="179"/>
        <v>652.93115185371005</v>
      </c>
      <c r="U306" s="194">
        <f t="shared" si="179"/>
        <v>737.25714734108362</v>
      </c>
      <c r="V306" s="194"/>
      <c r="W306" s="32"/>
      <c r="X306" s="62"/>
      <c r="Y306" s="62"/>
      <c r="Z306" s="62"/>
      <c r="AA306" s="62"/>
      <c r="AB306" s="119"/>
      <c r="AD306" s="166"/>
      <c r="AE306" s="166"/>
      <c r="AF306" s="166"/>
      <c r="AG306" s="166"/>
      <c r="AH306" s="166"/>
      <c r="AI306" s="166"/>
      <c r="AJ306" s="166"/>
      <c r="AK306" s="166"/>
      <c r="AL306" s="166"/>
      <c r="AM306" s="166"/>
      <c r="AN306" s="166"/>
      <c r="AO306" s="166"/>
    </row>
    <row r="307" spans="1:41" s="38" customFormat="1">
      <c r="A307" s="49"/>
      <c r="B307" s="49"/>
      <c r="C307" s="49"/>
      <c r="D307" s="49"/>
      <c r="E307" s="49"/>
      <c r="F307" s="18"/>
      <c r="G307" s="18"/>
      <c r="H307" s="34">
        <f t="shared" si="159"/>
        <v>32</v>
      </c>
      <c r="J307" s="18"/>
      <c r="K307" s="18"/>
      <c r="L307" s="62"/>
      <c r="M307" s="167"/>
      <c r="N307" s="62"/>
      <c r="O307" s="194">
        <f>+O304-O306</f>
        <v>132.33171138414525</v>
      </c>
      <c r="P307" s="180" t="s">
        <v>81</v>
      </c>
      <c r="Q307" s="194">
        <f t="shared" ref="Q307:U307" si="180">+Q304-Q306</f>
        <v>96.224282014441087</v>
      </c>
      <c r="R307" s="194">
        <f t="shared" si="180"/>
        <v>105.02521283738611</v>
      </c>
      <c r="S307" s="194">
        <f t="shared" si="180"/>
        <v>116.0460538624252</v>
      </c>
      <c r="T307" s="194">
        <f t="shared" si="180"/>
        <v>132.33171138414525</v>
      </c>
      <c r="U307" s="194">
        <f t="shared" si="180"/>
        <v>156.76019766672528</v>
      </c>
      <c r="V307" s="194"/>
      <c r="W307" s="32"/>
      <c r="X307" s="62"/>
      <c r="Y307" s="62"/>
      <c r="Z307" s="62"/>
      <c r="AA307" s="62"/>
      <c r="AB307" s="119"/>
      <c r="AD307" s="166"/>
      <c r="AE307" s="166"/>
      <c r="AF307" s="166"/>
      <c r="AG307" s="166"/>
      <c r="AH307" s="166"/>
      <c r="AI307" s="166"/>
      <c r="AJ307" s="166"/>
      <c r="AK307" s="166"/>
      <c r="AL307" s="166"/>
      <c r="AM307" s="166"/>
      <c r="AN307" s="166"/>
      <c r="AO307" s="166"/>
    </row>
    <row r="308" spans="1:41" s="38" customFormat="1">
      <c r="A308" s="49"/>
      <c r="B308" s="49"/>
      <c r="C308" s="49"/>
      <c r="D308" s="49"/>
      <c r="E308" s="49"/>
      <c r="F308" s="18"/>
      <c r="G308" s="17"/>
      <c r="H308" s="34">
        <f t="shared" si="159"/>
        <v>33</v>
      </c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32"/>
      <c r="X308" s="62"/>
      <c r="Y308" s="62"/>
      <c r="Z308" s="62"/>
      <c r="AA308" s="62"/>
      <c r="AB308" s="223"/>
      <c r="AD308" s="166"/>
      <c r="AE308" s="166"/>
      <c r="AF308" s="166"/>
      <c r="AG308" s="166"/>
      <c r="AH308" s="166"/>
      <c r="AI308" s="166"/>
      <c r="AJ308" s="166"/>
      <c r="AK308" s="166"/>
      <c r="AL308" s="166"/>
      <c r="AM308" s="166"/>
      <c r="AN308" s="166"/>
      <c r="AO308" s="166"/>
    </row>
    <row r="309" spans="1:41" s="38" customFormat="1">
      <c r="A309" s="49" t="s">
        <v>15</v>
      </c>
      <c r="B309" s="49"/>
      <c r="C309" s="49"/>
      <c r="D309" s="49"/>
      <c r="E309" s="49"/>
      <c r="F309" s="18">
        <v>1000</v>
      </c>
      <c r="G309" s="18"/>
      <c r="H309" s="34">
        <f t="shared" si="159"/>
        <v>34</v>
      </c>
      <c r="J309" s="196" t="s">
        <v>80</v>
      </c>
      <c r="K309" s="18"/>
      <c r="L309" s="62"/>
      <c r="M309" s="167"/>
      <c r="N309" s="213"/>
      <c r="O309" s="197">
        <v>1572</v>
      </c>
      <c r="P309" s="196" t="str">
        <f>P310</f>
        <v>Odkupna cena; vir podatkov SURS; preračuni KIS</v>
      </c>
      <c r="Q309" s="197">
        <v>1572</v>
      </c>
      <c r="R309" s="197">
        <v>1572</v>
      </c>
      <c r="S309" s="197">
        <v>1572</v>
      </c>
      <c r="T309" s="197">
        <v>1572</v>
      </c>
      <c r="U309" s="197">
        <v>1572</v>
      </c>
      <c r="V309" s="197"/>
      <c r="W309" s="201"/>
      <c r="X309" s="164"/>
      <c r="Y309" s="164"/>
      <c r="Z309" s="164"/>
      <c r="AA309" s="164"/>
      <c r="AB309" s="119"/>
      <c r="AD309" s="166"/>
      <c r="AE309" s="166"/>
      <c r="AF309" s="166"/>
      <c r="AG309" s="166"/>
      <c r="AH309" s="166"/>
      <c r="AI309" s="166"/>
      <c r="AJ309" s="166"/>
      <c r="AK309" s="166"/>
      <c r="AL309" s="166"/>
      <c r="AM309" s="166"/>
      <c r="AN309" s="166"/>
      <c r="AO309" s="166"/>
    </row>
    <row r="310" spans="1:41" s="38" customFormat="1">
      <c r="A310" s="49"/>
      <c r="B310" s="49"/>
      <c r="C310" s="49"/>
      <c r="D310" s="49"/>
      <c r="E310" s="49"/>
      <c r="F310" s="18"/>
      <c r="G310" s="17"/>
      <c r="H310" s="34">
        <f t="shared" si="159"/>
        <v>35</v>
      </c>
      <c r="J310" s="198" t="str">
        <f>+J273</f>
        <v>Bruto dodana vrednost</v>
      </c>
      <c r="K310" s="18"/>
      <c r="L310" s="164"/>
      <c r="M310" s="165"/>
      <c r="N310" s="164"/>
      <c r="O310" s="199">
        <f>O298+O297+O285-O283</f>
        <v>31530.666822976757</v>
      </c>
      <c r="P310" s="195" t="s">
        <v>80</v>
      </c>
      <c r="Q310" s="199">
        <f t="shared" ref="Q310:U310" si="181">Q298+Q297+Q285-Q283</f>
        <v>52383.007710698184</v>
      </c>
      <c r="R310" s="199">
        <f t="shared" si="181"/>
        <v>45239.553803039227</v>
      </c>
      <c r="S310" s="199">
        <f t="shared" si="181"/>
        <v>38324.129692435716</v>
      </c>
      <c r="T310" s="199">
        <f t="shared" si="181"/>
        <v>31530.666822976757</v>
      </c>
      <c r="U310" s="199">
        <f t="shared" si="181"/>
        <v>24887.7027809178</v>
      </c>
      <c r="V310" s="199"/>
      <c r="W310" s="32"/>
      <c r="X310" s="62"/>
      <c r="Y310" s="62"/>
      <c r="Z310" s="62"/>
      <c r="AA310" s="62"/>
      <c r="AB310" s="223"/>
      <c r="AD310" s="166"/>
      <c r="AE310" s="166"/>
      <c r="AF310" s="166"/>
      <c r="AG310" s="166"/>
      <c r="AH310" s="166"/>
      <c r="AI310" s="166"/>
      <c r="AJ310" s="166"/>
      <c r="AK310" s="166"/>
      <c r="AL310" s="166"/>
      <c r="AM310" s="166"/>
      <c r="AN310" s="166"/>
      <c r="AO310" s="166"/>
    </row>
    <row r="311" spans="1:41" s="38" customFormat="1">
      <c r="A311" s="112" t="s">
        <v>11</v>
      </c>
      <c r="B311" s="49"/>
      <c r="C311" s="49"/>
      <c r="D311" s="49"/>
      <c r="E311" s="49"/>
      <c r="F311" s="18"/>
      <c r="G311" s="62"/>
      <c r="H311" s="34">
        <f t="shared" si="159"/>
        <v>36</v>
      </c>
      <c r="J311" s="182" t="s">
        <v>11</v>
      </c>
      <c r="K311" s="46"/>
      <c r="L311" s="62"/>
      <c r="M311" s="167"/>
      <c r="N311" s="62"/>
      <c r="O311" s="35">
        <v>3848.2957866859156</v>
      </c>
      <c r="P311" s="42"/>
      <c r="Q311" s="35">
        <v>4282.5820404929027</v>
      </c>
      <c r="R311" s="35">
        <v>4143.3700586831092</v>
      </c>
      <c r="S311" s="35">
        <v>3987.50776849571</v>
      </c>
      <c r="T311" s="35">
        <v>3848.2957866859156</v>
      </c>
      <c r="U311" s="35">
        <v>3709.0838048761216</v>
      </c>
      <c r="V311" s="159"/>
      <c r="W311" s="201"/>
      <c r="X311" s="164"/>
      <c r="Y311" s="164"/>
      <c r="Z311" s="164"/>
      <c r="AA311" s="164"/>
      <c r="AB311" s="119"/>
      <c r="AD311" s="166"/>
      <c r="AE311" s="166"/>
      <c r="AF311" s="166"/>
      <c r="AG311" s="166"/>
      <c r="AH311" s="166"/>
      <c r="AI311" s="166"/>
      <c r="AJ311" s="166"/>
      <c r="AK311" s="166"/>
      <c r="AL311" s="166"/>
      <c r="AM311" s="166"/>
      <c r="AN311" s="166"/>
      <c r="AO311" s="166"/>
    </row>
    <row r="312" spans="1:41" s="38" customFormat="1">
      <c r="A312" s="49"/>
      <c r="B312" s="49"/>
      <c r="C312" s="49"/>
      <c r="D312" s="49"/>
      <c r="E312" s="49"/>
      <c r="F312" s="18"/>
      <c r="G312" s="62"/>
      <c r="H312" s="34">
        <f t="shared" si="159"/>
        <v>37</v>
      </c>
      <c r="J312" s="18" t="s">
        <v>157</v>
      </c>
      <c r="K312" s="46"/>
      <c r="L312" s="62"/>
      <c r="M312" s="167"/>
      <c r="N312" s="62"/>
      <c r="O312" s="220">
        <f>+O310-O311</f>
        <v>27682.371036290842</v>
      </c>
      <c r="P312" s="42"/>
      <c r="Q312" s="220">
        <f t="shared" ref="Q312:U312" si="182">+Q310-Q311</f>
        <v>48100.425670205281</v>
      </c>
      <c r="R312" s="220">
        <f t="shared" si="182"/>
        <v>41096.183744356116</v>
      </c>
      <c r="S312" s="220">
        <f t="shared" si="182"/>
        <v>34336.621923940009</v>
      </c>
      <c r="T312" s="220">
        <f t="shared" si="182"/>
        <v>27682.371036290842</v>
      </c>
      <c r="U312" s="220">
        <f t="shared" si="182"/>
        <v>21178.618976041678</v>
      </c>
      <c r="V312" s="159"/>
      <c r="W312" s="201"/>
      <c r="X312" s="164"/>
      <c r="Y312" s="164"/>
      <c r="Z312" s="164"/>
      <c r="AA312" s="164"/>
      <c r="AB312" s="119"/>
      <c r="AD312" s="166"/>
      <c r="AE312" s="166"/>
      <c r="AF312" s="166"/>
      <c r="AG312" s="166"/>
      <c r="AH312" s="166"/>
      <c r="AI312" s="166"/>
      <c r="AJ312" s="166"/>
      <c r="AK312" s="166"/>
      <c r="AL312" s="166"/>
      <c r="AM312" s="166"/>
      <c r="AN312" s="166"/>
      <c r="AO312" s="166"/>
    </row>
    <row r="313" spans="1:41" s="38" customFormat="1">
      <c r="A313" s="49"/>
      <c r="B313" s="49"/>
      <c r="C313" s="49"/>
      <c r="D313" s="49"/>
      <c r="E313" s="49"/>
      <c r="F313" s="114"/>
      <c r="G313" s="114"/>
      <c r="H313" s="61">
        <f>1</f>
        <v>1</v>
      </c>
      <c r="I313" s="61" t="str">
        <f>+J315</f>
        <v>Breskve namizne</v>
      </c>
      <c r="J313" s="60" t="s">
        <v>115</v>
      </c>
      <c r="K313" s="61"/>
      <c r="L313" s="61"/>
      <c r="M313" s="61"/>
      <c r="N313" s="61"/>
      <c r="O313" s="145" t="e">
        <f>O321-O333+O326-'2026'!#REF!</f>
        <v>#REF!</v>
      </c>
      <c r="P313" s="61"/>
      <c r="Q313" s="145" t="e">
        <f>Q321-Q333+Q326-'2026'!#REF!</f>
        <v>#REF!</v>
      </c>
      <c r="R313" s="145" t="e">
        <f>R321-R333+R326-'2026'!#REF!</f>
        <v>#REF!</v>
      </c>
      <c r="S313" s="145" t="e">
        <f>S321-S333+S326-'2026'!#REF!</f>
        <v>#REF!</v>
      </c>
      <c r="T313" s="145" t="e">
        <f>T321-T333+T326-'2026'!#REF!</f>
        <v>#REF!</v>
      </c>
      <c r="U313" s="145"/>
      <c r="V313" s="145"/>
      <c r="W313" s="61"/>
      <c r="X313" s="61"/>
      <c r="Y313" s="61"/>
      <c r="Z313" s="61"/>
      <c r="AA313" s="61"/>
      <c r="AB313" s="114"/>
      <c r="AD313" s="166"/>
      <c r="AE313" s="166"/>
      <c r="AF313" s="166"/>
      <c r="AG313" s="166"/>
      <c r="AH313" s="166"/>
      <c r="AI313" s="166"/>
      <c r="AJ313" s="166"/>
      <c r="AK313" s="166"/>
      <c r="AL313" s="166"/>
      <c r="AM313" s="166"/>
      <c r="AN313" s="166"/>
      <c r="AO313" s="166"/>
    </row>
    <row r="314" spans="1:41" s="38" customFormat="1">
      <c r="A314" s="49"/>
      <c r="B314" s="49"/>
      <c r="C314" s="49"/>
      <c r="D314" s="49"/>
      <c r="E314" s="49"/>
      <c r="G314" s="115"/>
      <c r="H314" s="34">
        <f>H313+1</f>
        <v>2</v>
      </c>
      <c r="I314" s="38" t="str">
        <f>+I313</f>
        <v>Breskve namizne</v>
      </c>
      <c r="J314" s="36" t="s">
        <v>116</v>
      </c>
      <c r="K314" s="37"/>
      <c r="L314" s="37"/>
      <c r="M314" s="148"/>
      <c r="N314" s="37"/>
      <c r="O314" s="204" t="e">
        <f>#REF!</f>
        <v>#REF!</v>
      </c>
      <c r="P314" s="204"/>
      <c r="Q314" s="149" t="s">
        <v>103</v>
      </c>
      <c r="R314" s="149" t="s">
        <v>175</v>
      </c>
      <c r="S314" s="149" t="s">
        <v>102</v>
      </c>
      <c r="T314" s="149" t="s">
        <v>176</v>
      </c>
      <c r="U314" s="149"/>
      <c r="V314" s="37"/>
      <c r="W314" s="37"/>
      <c r="X314" s="149"/>
      <c r="Y314" s="149"/>
      <c r="Z314" s="37"/>
      <c r="AA314" s="37"/>
      <c r="AB314" s="114"/>
      <c r="AD314" s="166"/>
      <c r="AE314" s="166"/>
      <c r="AF314" s="166"/>
      <c r="AG314" s="166"/>
      <c r="AH314" s="166"/>
      <c r="AI314" s="166"/>
      <c r="AJ314" s="166"/>
      <c r="AK314" s="166"/>
      <c r="AL314" s="166"/>
      <c r="AM314" s="166"/>
      <c r="AN314" s="166"/>
      <c r="AO314" s="166"/>
    </row>
    <row r="315" spans="1:41" s="38" customFormat="1">
      <c r="A315" s="49"/>
      <c r="B315" s="49"/>
      <c r="C315" s="49"/>
      <c r="D315" s="49"/>
      <c r="E315" s="49"/>
      <c r="F315" s="38" t="e">
        <f>#REF!</f>
        <v>#REF!</v>
      </c>
      <c r="G315" s="115"/>
      <c r="H315" s="34">
        <f t="shared" ref="H315:H349" si="183">H314+1</f>
        <v>3</v>
      </c>
      <c r="I315" s="38" t="str">
        <f>+I314</f>
        <v>Breskve namizne</v>
      </c>
      <c r="J315" s="40" t="s">
        <v>193</v>
      </c>
      <c r="K315" s="18" t="str">
        <f>+K$56</f>
        <v>Enota</v>
      </c>
      <c r="L315" s="102"/>
      <c r="M315" s="150"/>
      <c r="N315" s="144"/>
      <c r="O315" s="107"/>
      <c r="P315" s="107"/>
      <c r="Q315" s="18"/>
      <c r="R315" s="18"/>
      <c r="S315" s="107"/>
      <c r="T315" s="18"/>
      <c r="U315" s="107"/>
      <c r="X315" s="38" t="s">
        <v>69</v>
      </c>
      <c r="AD315" s="166"/>
      <c r="AE315" s="166"/>
      <c r="AF315" s="166"/>
      <c r="AG315" s="166"/>
      <c r="AH315" s="166"/>
      <c r="AI315" s="166"/>
      <c r="AJ315" s="166"/>
      <c r="AK315" s="166"/>
      <c r="AL315" s="166"/>
      <c r="AM315" s="166"/>
      <c r="AN315" s="166"/>
      <c r="AO315" s="166"/>
    </row>
    <row r="316" spans="1:41" s="38" customFormat="1">
      <c r="A316" s="49"/>
      <c r="B316" s="49"/>
      <c r="C316" s="49"/>
      <c r="D316" s="49"/>
      <c r="E316" s="49"/>
      <c r="G316" s="115"/>
      <c r="H316" s="34">
        <f t="shared" si="183"/>
        <v>4</v>
      </c>
      <c r="I316" s="38" t="str">
        <f>+I315</f>
        <v>Breskve namizne</v>
      </c>
      <c r="J316" s="17" t="s">
        <v>65</v>
      </c>
      <c r="K316" s="18"/>
      <c r="L316" s="102"/>
      <c r="M316" s="150"/>
      <c r="N316" s="144"/>
      <c r="O316" s="107"/>
      <c r="P316" s="107"/>
      <c r="Q316" s="102" t="s">
        <v>68</v>
      </c>
      <c r="R316" s="102" t="s">
        <v>67</v>
      </c>
      <c r="S316" s="102" t="s">
        <v>66</v>
      </c>
      <c r="T316" s="102"/>
      <c r="U316" s="102"/>
      <c r="V316" s="102"/>
      <c r="W316" s="102"/>
      <c r="X316" s="144" t="s">
        <v>63</v>
      </c>
      <c r="Y316" s="102" t="s">
        <v>62</v>
      </c>
      <c r="Z316" s="102"/>
      <c r="AA316" s="102"/>
      <c r="AD316" s="166"/>
      <c r="AE316" s="166"/>
      <c r="AF316" s="166"/>
      <c r="AG316" s="166"/>
      <c r="AH316" s="166"/>
      <c r="AI316" s="166"/>
      <c r="AJ316" s="166"/>
      <c r="AK316" s="166"/>
      <c r="AL316" s="166"/>
      <c r="AM316" s="166"/>
      <c r="AN316" s="166"/>
      <c r="AO316" s="166"/>
    </row>
    <row r="317" spans="1:41" s="38" customFormat="1">
      <c r="A317" s="49" t="s">
        <v>9</v>
      </c>
      <c r="B317" s="49"/>
      <c r="C317" s="49"/>
      <c r="D317" s="49"/>
      <c r="E317" s="49"/>
      <c r="F317" s="18"/>
      <c r="G317" s="115"/>
      <c r="H317" s="34">
        <f t="shared" si="183"/>
        <v>5</v>
      </c>
      <c r="I317" s="38" t="str">
        <f>+I316</f>
        <v>Breskve namizne</v>
      </c>
      <c r="J317" s="17" t="s">
        <v>8</v>
      </c>
      <c r="K317" s="18" t="s">
        <v>7</v>
      </c>
      <c r="L317" s="152"/>
      <c r="M317" s="205"/>
      <c r="N317" s="154"/>
      <c r="O317" s="159">
        <v>20000</v>
      </c>
      <c r="P317" s="18"/>
      <c r="Q317" s="159">
        <v>30000</v>
      </c>
      <c r="R317" s="159">
        <v>25000</v>
      </c>
      <c r="S317" s="159">
        <v>20000</v>
      </c>
      <c r="T317" s="159">
        <v>15000</v>
      </c>
      <c r="U317" s="159"/>
      <c r="V317" s="159"/>
      <c r="W317" s="102"/>
      <c r="X317" s="147">
        <f>Q317/$S317*100</f>
        <v>150</v>
      </c>
      <c r="Y317" s="147">
        <f t="shared" ref="Y317:AA317" si="184">R317/$S317*100</f>
        <v>125</v>
      </c>
      <c r="Z317" s="147">
        <f t="shared" si="184"/>
        <v>100</v>
      </c>
      <c r="AA317" s="147">
        <f t="shared" si="184"/>
        <v>75</v>
      </c>
      <c r="AB317" s="147">
        <f>U317/$S317*100</f>
        <v>0</v>
      </c>
      <c r="AD317" s="166"/>
      <c r="AE317" s="166"/>
      <c r="AF317" s="166"/>
      <c r="AG317" s="166"/>
      <c r="AH317" s="166"/>
      <c r="AI317" s="166"/>
      <c r="AJ317" s="166"/>
      <c r="AK317" s="166"/>
      <c r="AL317" s="166"/>
      <c r="AM317" s="166"/>
      <c r="AN317" s="166"/>
      <c r="AO317" s="166"/>
    </row>
    <row r="318" spans="1:41" s="38" customFormat="1">
      <c r="A318" s="49" t="s">
        <v>75</v>
      </c>
      <c r="B318" s="49"/>
      <c r="C318" s="49"/>
      <c r="D318" s="49"/>
      <c r="E318" s="49"/>
      <c r="F318" s="18"/>
      <c r="G318" s="115"/>
      <c r="H318" s="34">
        <f t="shared" si="183"/>
        <v>6</v>
      </c>
      <c r="J318" s="17"/>
      <c r="K318" s="18"/>
      <c r="L318" s="152"/>
      <c r="M318" s="205"/>
      <c r="N318" s="154"/>
      <c r="O318" s="152"/>
      <c r="P318" s="18"/>
      <c r="Q318" s="152"/>
      <c r="R318" s="152"/>
      <c r="S318" s="152"/>
      <c r="T318" s="152"/>
      <c r="U318" s="152"/>
      <c r="V318" s="152"/>
      <c r="W318" s="102"/>
      <c r="X318" s="102"/>
      <c r="Y318" s="102"/>
      <c r="Z318" s="102"/>
      <c r="AA318" s="102"/>
      <c r="AD318" s="166"/>
      <c r="AE318" s="166"/>
      <c r="AF318" s="166"/>
      <c r="AG318" s="166"/>
      <c r="AH318" s="166"/>
      <c r="AI318" s="166"/>
      <c r="AJ318" s="166"/>
      <c r="AK318" s="166"/>
      <c r="AL318" s="166"/>
      <c r="AM318" s="166"/>
      <c r="AN318" s="166"/>
      <c r="AO318" s="166"/>
    </row>
    <row r="319" spans="1:41" s="38" customFormat="1">
      <c r="A319" s="49" t="s">
        <v>72</v>
      </c>
      <c r="B319" s="49"/>
      <c r="C319" s="49"/>
      <c r="D319" s="49"/>
      <c r="E319" s="49"/>
      <c r="F319" s="18"/>
      <c r="G319" s="115"/>
      <c r="H319" s="34">
        <f t="shared" si="183"/>
        <v>7</v>
      </c>
      <c r="I319" s="38" t="str">
        <f>+I317</f>
        <v>Breskve namizne</v>
      </c>
      <c r="J319" s="17" t="s">
        <v>71</v>
      </c>
      <c r="K319" s="18" t="s">
        <v>70</v>
      </c>
      <c r="L319" s="102"/>
      <c r="M319" s="150"/>
      <c r="N319" s="144"/>
      <c r="O319" s="158">
        <v>0.5</v>
      </c>
      <c r="P319" s="62"/>
      <c r="Q319" s="158">
        <v>0.5</v>
      </c>
      <c r="R319" s="158">
        <v>0.5</v>
      </c>
      <c r="S319" s="158">
        <v>0.5</v>
      </c>
      <c r="T319" s="158">
        <v>0.5</v>
      </c>
      <c r="U319" s="158"/>
      <c r="V319" s="159"/>
      <c r="W319" s="102"/>
      <c r="X319" s="147"/>
      <c r="Y319" s="147"/>
      <c r="Z319" s="147"/>
      <c r="AA319" s="147"/>
      <c r="AD319" s="166"/>
      <c r="AE319" s="166"/>
      <c r="AF319" s="166"/>
      <c r="AG319" s="166"/>
      <c r="AH319" s="166"/>
      <c r="AI319" s="166"/>
      <c r="AJ319" s="166"/>
      <c r="AK319" s="166"/>
      <c r="AL319" s="166"/>
      <c r="AM319" s="166"/>
      <c r="AN319" s="166"/>
      <c r="AO319" s="166"/>
    </row>
    <row r="320" spans="1:41" s="38" customFormat="1">
      <c r="A320" s="112" t="s">
        <v>12</v>
      </c>
      <c r="B320" s="49"/>
      <c r="C320" s="49"/>
      <c r="D320" s="49"/>
      <c r="E320" s="49"/>
      <c r="F320" s="18"/>
      <c r="G320" s="115"/>
      <c r="H320" s="34">
        <f t="shared" si="183"/>
        <v>8</v>
      </c>
      <c r="I320" s="38" t="str">
        <f>+I315</f>
        <v>Breskve namizne</v>
      </c>
      <c r="J320" s="17" t="str">
        <f>+J$61</f>
        <v>Kupljen material in storitve</v>
      </c>
      <c r="K320" s="18"/>
      <c r="L320" s="18"/>
      <c r="M320" s="136"/>
      <c r="N320" s="18"/>
      <c r="O320" s="159">
        <v>9423.4901591787893</v>
      </c>
      <c r="P320" s="18"/>
      <c r="Q320" s="159">
        <v>12508.131184844156</v>
      </c>
      <c r="R320" s="159">
        <v>10970.035020403338</v>
      </c>
      <c r="S320" s="159">
        <v>9423.4901591787893</v>
      </c>
      <c r="T320" s="159">
        <v>7837.3972928401281</v>
      </c>
      <c r="U320" s="159"/>
      <c r="V320" s="159"/>
      <c r="W320" s="152"/>
      <c r="X320" s="147">
        <f t="shared" ref="X320:X335" si="185">Q320/$S320*100</f>
        <v>132.73353050261133</v>
      </c>
      <c r="Y320" s="147">
        <f t="shared" ref="Y320:Y335" si="186">R320/$S320*100</f>
        <v>116.41159310511047</v>
      </c>
      <c r="Z320" s="147">
        <f t="shared" ref="Z320:Z335" si="187">S320/$S320*100</f>
        <v>100</v>
      </c>
      <c r="AA320" s="147">
        <f t="shared" ref="AA320:AA335" si="188">T320/$S320*100</f>
        <v>83.168732183651144</v>
      </c>
      <c r="AB320" s="147">
        <f t="shared" ref="AB320:AB335" si="189">U320/$S320*100</f>
        <v>0</v>
      </c>
      <c r="AD320" s="166"/>
      <c r="AE320" s="166"/>
      <c r="AF320" s="166"/>
      <c r="AG320" s="166"/>
      <c r="AH320" s="166"/>
      <c r="AI320" s="166"/>
      <c r="AJ320" s="166"/>
      <c r="AK320" s="166"/>
      <c r="AL320" s="166"/>
      <c r="AM320" s="166"/>
      <c r="AN320" s="166"/>
      <c r="AO320" s="166"/>
    </row>
    <row r="321" spans="1:41" s="38" customFormat="1">
      <c r="A321" s="49" t="s">
        <v>5</v>
      </c>
      <c r="B321" s="49"/>
      <c r="C321" s="49"/>
      <c r="D321" s="49"/>
      <c r="E321" s="49"/>
      <c r="F321" s="18"/>
      <c r="G321" s="18"/>
      <c r="H321" s="34">
        <f t="shared" si="183"/>
        <v>9</v>
      </c>
      <c r="I321" s="38" t="str">
        <f t="shared" ref="I321:I348" si="190">+I320</f>
        <v>Breskve namizne</v>
      </c>
      <c r="J321" s="17" t="str">
        <f>+J$62</f>
        <v>Stroški skupaj</v>
      </c>
      <c r="K321" s="18" t="str">
        <f>+K$62</f>
        <v>EUR/ha</v>
      </c>
      <c r="L321" s="43"/>
      <c r="M321" s="214"/>
      <c r="N321" s="42"/>
      <c r="O321" s="159">
        <v>23613.779202418908</v>
      </c>
      <c r="P321" s="42"/>
      <c r="Q321" s="159">
        <v>28406.253640985586</v>
      </c>
      <c r="R321" s="159">
        <v>26081.398434519699</v>
      </c>
      <c r="S321" s="159">
        <v>23613.779202418908</v>
      </c>
      <c r="T321" s="159">
        <v>21237.967441366258</v>
      </c>
      <c r="U321" s="159"/>
      <c r="V321" s="159"/>
      <c r="W321" s="156"/>
      <c r="X321" s="147">
        <f t="shared" si="185"/>
        <v>120.29524540517325</v>
      </c>
      <c r="Y321" s="147">
        <f t="shared" si="186"/>
        <v>110.4499123623889</v>
      </c>
      <c r="Z321" s="147">
        <f t="shared" si="187"/>
        <v>100</v>
      </c>
      <c r="AA321" s="147">
        <f t="shared" si="188"/>
        <v>89.938875346097589</v>
      </c>
      <c r="AB321" s="147">
        <f t="shared" si="189"/>
        <v>0</v>
      </c>
      <c r="AD321" s="166"/>
      <c r="AE321" s="166"/>
      <c r="AF321" s="166"/>
      <c r="AG321" s="166"/>
      <c r="AH321" s="166"/>
      <c r="AI321" s="166"/>
      <c r="AJ321" s="166"/>
      <c r="AK321" s="166"/>
      <c r="AL321" s="166"/>
      <c r="AM321" s="166"/>
      <c r="AN321" s="166"/>
      <c r="AO321" s="166"/>
    </row>
    <row r="322" spans="1:41" s="38" customFormat="1">
      <c r="A322" s="49" t="s">
        <v>4</v>
      </c>
      <c r="B322" s="49"/>
      <c r="C322" s="49"/>
      <c r="D322" s="49"/>
      <c r="E322" s="49"/>
      <c r="F322" s="18"/>
      <c r="G322" s="18"/>
      <c r="H322" s="34">
        <f t="shared" si="183"/>
        <v>10</v>
      </c>
      <c r="I322" s="38" t="str">
        <f t="shared" si="190"/>
        <v>Breskve namizne</v>
      </c>
      <c r="J322" s="17" t="str">
        <f>+J$63</f>
        <v>Stranski pridelki</v>
      </c>
      <c r="K322" s="18" t="str">
        <f>+K$63</f>
        <v>EUR/ha</v>
      </c>
      <c r="L322" s="43"/>
      <c r="M322" s="214"/>
      <c r="N322" s="43"/>
      <c r="O322" s="159">
        <v>0</v>
      </c>
      <c r="P322" s="43"/>
      <c r="Q322" s="159">
        <v>0</v>
      </c>
      <c r="R322" s="159">
        <v>0</v>
      </c>
      <c r="S322" s="159">
        <v>0</v>
      </c>
      <c r="T322" s="159">
        <v>0</v>
      </c>
      <c r="U322" s="159"/>
      <c r="V322" s="159"/>
      <c r="W322" s="201"/>
      <c r="X322" s="147" t="e">
        <f t="shared" si="185"/>
        <v>#DIV/0!</v>
      </c>
      <c r="Y322" s="147" t="e">
        <f t="shared" si="186"/>
        <v>#DIV/0!</v>
      </c>
      <c r="Z322" s="147" t="e">
        <f t="shared" si="187"/>
        <v>#DIV/0!</v>
      </c>
      <c r="AA322" s="147" t="e">
        <f t="shared" si="188"/>
        <v>#DIV/0!</v>
      </c>
      <c r="AB322" s="147" t="e">
        <f t="shared" si="189"/>
        <v>#DIV/0!</v>
      </c>
      <c r="AD322" s="166"/>
      <c r="AE322" s="166"/>
      <c r="AF322" s="166"/>
      <c r="AG322" s="166"/>
      <c r="AH322" s="166"/>
      <c r="AI322" s="166"/>
      <c r="AJ322" s="166"/>
      <c r="AK322" s="166"/>
      <c r="AL322" s="166"/>
      <c r="AM322" s="166"/>
      <c r="AN322" s="166"/>
      <c r="AO322" s="166"/>
    </row>
    <row r="323" spans="1:41" s="38" customFormat="1">
      <c r="A323" s="49"/>
      <c r="B323" s="49"/>
      <c r="C323" s="49"/>
      <c r="D323" s="49"/>
      <c r="E323" s="49"/>
      <c r="F323" s="18"/>
      <c r="G323" s="18"/>
      <c r="H323" s="34">
        <f t="shared" si="183"/>
        <v>11</v>
      </c>
      <c r="I323" s="38" t="str">
        <f t="shared" si="190"/>
        <v>Breskve namizne</v>
      </c>
      <c r="J323" s="17" t="str">
        <f>+J$64</f>
        <v>Stroški glavnega pridelka</v>
      </c>
      <c r="K323" s="18" t="str">
        <f>+K$64</f>
        <v>EUR/ha</v>
      </c>
      <c r="L323" s="215"/>
      <c r="M323" s="214"/>
      <c r="N323" s="215"/>
      <c r="O323" s="169">
        <f>+O321-O322</f>
        <v>23613.779202418908</v>
      </c>
      <c r="P323" s="43"/>
      <c r="Q323" s="169">
        <f t="shared" ref="Q323:T323" si="191">+Q321-Q322</f>
        <v>28406.253640985586</v>
      </c>
      <c r="R323" s="169">
        <f t="shared" si="191"/>
        <v>26081.398434519699</v>
      </c>
      <c r="S323" s="169">
        <f t="shared" si="191"/>
        <v>23613.779202418908</v>
      </c>
      <c r="T323" s="169">
        <f t="shared" si="191"/>
        <v>21237.967441366258</v>
      </c>
      <c r="U323" s="169"/>
      <c r="V323" s="169"/>
      <c r="W323" s="32"/>
      <c r="X323" s="147">
        <f t="shared" si="185"/>
        <v>120.29524540517325</v>
      </c>
      <c r="Y323" s="147">
        <f t="shared" si="186"/>
        <v>110.4499123623889</v>
      </c>
      <c r="Z323" s="147">
        <f t="shared" si="187"/>
        <v>100</v>
      </c>
      <c r="AA323" s="147">
        <f t="shared" si="188"/>
        <v>89.938875346097589</v>
      </c>
      <c r="AB323" s="147">
        <f t="shared" si="189"/>
        <v>0</v>
      </c>
      <c r="AD323" s="166"/>
      <c r="AE323" s="166"/>
      <c r="AF323" s="166"/>
      <c r="AG323" s="166"/>
      <c r="AH323" s="166"/>
      <c r="AI323" s="166"/>
      <c r="AJ323" s="166"/>
      <c r="AK323" s="166"/>
      <c r="AL323" s="166"/>
      <c r="AM323" s="166"/>
      <c r="AN323" s="166"/>
      <c r="AO323" s="166"/>
    </row>
    <row r="324" spans="1:41" s="38" customFormat="1">
      <c r="A324" s="49" t="s">
        <v>3</v>
      </c>
      <c r="B324" s="49" t="s">
        <v>0</v>
      </c>
      <c r="C324" s="49" t="s">
        <v>2</v>
      </c>
      <c r="D324" s="49" t="s">
        <v>1</v>
      </c>
      <c r="E324" s="49" t="s">
        <v>0</v>
      </c>
      <c r="F324" s="18"/>
      <c r="G324" s="18"/>
      <c r="H324" s="34">
        <f t="shared" si="183"/>
        <v>12</v>
      </c>
      <c r="I324" s="38" t="str">
        <f t="shared" si="190"/>
        <v>Breskve namizne</v>
      </c>
      <c r="J324" s="17" t="str">
        <f>+J$65</f>
        <v>Subvencije</v>
      </c>
      <c r="K324" s="18" t="str">
        <f>+K$65</f>
        <v>EUR/ha</v>
      </c>
      <c r="L324" s="43"/>
      <c r="M324" s="214"/>
      <c r="N324" s="43"/>
      <c r="O324" s="159">
        <v>23.94</v>
      </c>
      <c r="P324" s="43"/>
      <c r="Q324" s="159">
        <v>23.94</v>
      </c>
      <c r="R324" s="159">
        <v>23.94</v>
      </c>
      <c r="S324" s="159">
        <v>23.94</v>
      </c>
      <c r="T324" s="159">
        <v>23.94</v>
      </c>
      <c r="U324" s="159"/>
      <c r="V324" s="159"/>
      <c r="W324" s="32"/>
      <c r="X324" s="147">
        <f t="shared" si="185"/>
        <v>100</v>
      </c>
      <c r="Y324" s="147">
        <f t="shared" si="186"/>
        <v>100</v>
      </c>
      <c r="Z324" s="147">
        <f t="shared" si="187"/>
        <v>100</v>
      </c>
      <c r="AA324" s="147">
        <f t="shared" si="188"/>
        <v>100</v>
      </c>
      <c r="AB324" s="147">
        <f t="shared" si="189"/>
        <v>0</v>
      </c>
      <c r="AC324" s="115"/>
      <c r="AD324" s="166"/>
      <c r="AE324" s="166"/>
      <c r="AF324" s="166"/>
      <c r="AG324" s="166"/>
      <c r="AH324" s="166"/>
      <c r="AI324" s="166"/>
      <c r="AJ324" s="166"/>
      <c r="AK324" s="166"/>
      <c r="AL324" s="166"/>
      <c r="AM324" s="166"/>
      <c r="AN324" s="166"/>
      <c r="AO324" s="166"/>
    </row>
    <row r="325" spans="1:41" s="38" customFormat="1">
      <c r="A325" s="49"/>
      <c r="B325" s="49"/>
      <c r="C325" s="49" t="s">
        <v>6</v>
      </c>
      <c r="D325" s="49"/>
      <c r="E325" s="49"/>
      <c r="F325" s="18"/>
      <c r="G325" s="18"/>
      <c r="H325" s="34">
        <f t="shared" si="183"/>
        <v>13</v>
      </c>
      <c r="I325" s="38" t="str">
        <f t="shared" si="190"/>
        <v>Breskve namizne</v>
      </c>
      <c r="J325" s="17" t="str">
        <f>+J$66</f>
        <v>Stroški, zmanjšani za subvencije</v>
      </c>
      <c r="K325" s="18" t="str">
        <f>+K$66</f>
        <v>EUR/ha</v>
      </c>
      <c r="L325" s="215"/>
      <c r="M325" s="214"/>
      <c r="N325" s="215"/>
      <c r="O325" s="171">
        <f>+O323-O324</f>
        <v>23589.839202418909</v>
      </c>
      <c r="P325" s="43"/>
      <c r="Q325" s="171">
        <f t="shared" ref="Q325:T325" si="192">+Q323-Q324</f>
        <v>28382.313640985587</v>
      </c>
      <c r="R325" s="171">
        <f t="shared" si="192"/>
        <v>26057.4584345197</v>
      </c>
      <c r="S325" s="171">
        <f t="shared" si="192"/>
        <v>23589.839202418909</v>
      </c>
      <c r="T325" s="171">
        <f t="shared" si="192"/>
        <v>21214.027441366259</v>
      </c>
      <c r="U325" s="171"/>
      <c r="V325" s="171"/>
      <c r="W325" s="32"/>
      <c r="X325" s="147">
        <f t="shared" si="185"/>
        <v>120.31584190737195</v>
      </c>
      <c r="Y325" s="147">
        <f t="shared" si="186"/>
        <v>110.46051739024894</v>
      </c>
      <c r="Z325" s="147">
        <f t="shared" si="187"/>
        <v>100</v>
      </c>
      <c r="AA325" s="147">
        <f t="shared" si="188"/>
        <v>89.928664876999107</v>
      </c>
      <c r="AB325" s="147">
        <f t="shared" si="189"/>
        <v>0</v>
      </c>
      <c r="AD325" s="166"/>
      <c r="AE325" s="166"/>
      <c r="AF325" s="166"/>
      <c r="AG325" s="166"/>
      <c r="AH325" s="166"/>
      <c r="AI325" s="166"/>
      <c r="AJ325" s="166"/>
      <c r="AK325" s="166"/>
      <c r="AL325" s="166"/>
      <c r="AM325" s="166"/>
      <c r="AN325" s="166"/>
      <c r="AO325" s="166"/>
    </row>
    <row r="326" spans="1:41" s="38" customFormat="1">
      <c r="A326" s="49"/>
      <c r="B326" s="49"/>
      <c r="C326" s="49"/>
      <c r="D326" s="49"/>
      <c r="E326" s="49"/>
      <c r="F326" s="18"/>
      <c r="G326" s="51"/>
      <c r="H326" s="34">
        <f t="shared" si="183"/>
        <v>14</v>
      </c>
      <c r="I326" s="38" t="str">
        <f t="shared" si="190"/>
        <v>Breskve namizne</v>
      </c>
      <c r="J326" s="17" t="str">
        <f>+J$67</f>
        <v>Stroški, zmanjšani za subvencije/kg</v>
      </c>
      <c r="K326" s="18" t="str">
        <f>+K$67</f>
        <v>EUR/kg</v>
      </c>
      <c r="L326" s="216"/>
      <c r="M326" s="217"/>
      <c r="N326" s="215"/>
      <c r="O326" s="177">
        <f>+O325/O317</f>
        <v>1.1794919601209455</v>
      </c>
      <c r="P326" s="218"/>
      <c r="Q326" s="177">
        <f t="shared" ref="Q326:T326" si="193">+Q325/Q317</f>
        <v>0.94607712136618627</v>
      </c>
      <c r="R326" s="177">
        <f t="shared" si="193"/>
        <v>1.0422983373807879</v>
      </c>
      <c r="S326" s="177">
        <f t="shared" si="193"/>
        <v>1.1794919601209455</v>
      </c>
      <c r="T326" s="177">
        <f t="shared" si="193"/>
        <v>1.4142684960910838</v>
      </c>
      <c r="U326" s="177"/>
      <c r="V326" s="177"/>
      <c r="W326" s="32"/>
      <c r="X326" s="147">
        <f t="shared" si="185"/>
        <v>80.210561271581298</v>
      </c>
      <c r="Y326" s="147">
        <f t="shared" si="186"/>
        <v>88.368413912199145</v>
      </c>
      <c r="Z326" s="147">
        <f t="shared" si="187"/>
        <v>100</v>
      </c>
      <c r="AA326" s="147">
        <f t="shared" si="188"/>
        <v>119.90488650266546</v>
      </c>
      <c r="AB326" s="147">
        <f t="shared" si="189"/>
        <v>0</v>
      </c>
      <c r="AD326" s="166"/>
      <c r="AE326" s="166"/>
      <c r="AF326" s="166"/>
      <c r="AG326" s="166"/>
      <c r="AH326" s="166"/>
      <c r="AI326" s="166"/>
      <c r="AJ326" s="166"/>
      <c r="AK326" s="166"/>
      <c r="AL326" s="166"/>
      <c r="AM326" s="166"/>
      <c r="AN326" s="166"/>
      <c r="AO326" s="166"/>
    </row>
    <row r="327" spans="1:41" s="38" customFormat="1">
      <c r="A327" s="49" t="s">
        <v>136</v>
      </c>
      <c r="B327" s="49"/>
      <c r="C327" s="49"/>
      <c r="D327" s="49"/>
      <c r="E327" s="49"/>
      <c r="F327" s="18"/>
      <c r="G327" s="18"/>
      <c r="H327" s="34">
        <f t="shared" si="183"/>
        <v>15</v>
      </c>
      <c r="I327" s="38" t="str">
        <f t="shared" si="190"/>
        <v>Breskve namizne</v>
      </c>
      <c r="J327" s="17" t="str">
        <f t="shared" ref="J327" si="194">+J290</f>
        <v>davek_a</v>
      </c>
      <c r="K327" s="18"/>
      <c r="L327" s="43"/>
      <c r="M327" s="214"/>
      <c r="N327" s="43"/>
      <c r="O327" s="35">
        <v>0</v>
      </c>
      <c r="P327" s="43"/>
      <c r="Q327" s="35">
        <v>0</v>
      </c>
      <c r="R327" s="35">
        <v>0</v>
      </c>
      <c r="S327" s="35">
        <v>0</v>
      </c>
      <c r="T327" s="35">
        <v>0</v>
      </c>
      <c r="U327" s="35"/>
      <c r="V327" s="35"/>
      <c r="W327" s="222"/>
      <c r="X327" s="147" t="e">
        <f t="shared" si="185"/>
        <v>#DIV/0!</v>
      </c>
      <c r="Y327" s="147" t="e">
        <f t="shared" si="186"/>
        <v>#DIV/0!</v>
      </c>
      <c r="Z327" s="147" t="e">
        <f t="shared" si="187"/>
        <v>#DIV/0!</v>
      </c>
      <c r="AA327" s="147" t="e">
        <f t="shared" si="188"/>
        <v>#DIV/0!</v>
      </c>
      <c r="AB327" s="147" t="e">
        <f t="shared" si="189"/>
        <v>#DIV/0!</v>
      </c>
      <c r="AD327" s="166"/>
      <c r="AE327" s="166"/>
      <c r="AF327" s="166"/>
      <c r="AG327" s="166"/>
      <c r="AH327" s="166"/>
      <c r="AI327" s="166"/>
      <c r="AJ327" s="166"/>
      <c r="AK327" s="166"/>
      <c r="AL327" s="166"/>
      <c r="AM327" s="166"/>
      <c r="AN327" s="166"/>
      <c r="AO327" s="166"/>
    </row>
    <row r="328" spans="1:41" s="38" customFormat="1">
      <c r="A328" s="18" t="s">
        <v>92</v>
      </c>
      <c r="B328" s="49"/>
      <c r="C328" s="49"/>
      <c r="D328" s="49"/>
      <c r="E328" s="49"/>
      <c r="F328" s="18"/>
      <c r="G328" s="18"/>
      <c r="H328" s="34">
        <f t="shared" si="183"/>
        <v>16</v>
      </c>
      <c r="I328" s="38" t="str">
        <f t="shared" si="190"/>
        <v>Breskve namizne</v>
      </c>
      <c r="J328" s="17" t="str">
        <f t="shared" ref="J328:J333" si="195">+A328</f>
        <v>Pokoj obvezno</v>
      </c>
      <c r="K328" s="18"/>
      <c r="L328" s="43"/>
      <c r="M328" s="214"/>
      <c r="N328" s="43"/>
      <c r="O328" s="35">
        <v>674.68273538033338</v>
      </c>
      <c r="P328" s="43"/>
      <c r="Q328" s="35">
        <v>802.8793028077248</v>
      </c>
      <c r="R328" s="35">
        <v>742.93737465665174</v>
      </c>
      <c r="S328" s="35">
        <v>674.68273538033338</v>
      </c>
      <c r="T328" s="35">
        <v>614.58106295832522</v>
      </c>
      <c r="U328" s="35"/>
      <c r="V328" s="35"/>
      <c r="W328" s="32"/>
      <c r="X328" s="147">
        <f t="shared" si="185"/>
        <v>119.00101495188315</v>
      </c>
      <c r="Y328" s="147">
        <f t="shared" si="186"/>
        <v>110.11655341052142</v>
      </c>
      <c r="Z328" s="147">
        <f t="shared" si="187"/>
        <v>100</v>
      </c>
      <c r="AA328" s="147">
        <f t="shared" si="188"/>
        <v>91.091861512044247</v>
      </c>
      <c r="AB328" s="147">
        <f t="shared" si="189"/>
        <v>0</v>
      </c>
      <c r="AD328" s="166"/>
      <c r="AE328" s="166"/>
      <c r="AF328" s="166"/>
      <c r="AG328" s="166"/>
      <c r="AH328" s="166"/>
      <c r="AI328" s="166"/>
      <c r="AJ328" s="166"/>
      <c r="AK328" s="166"/>
      <c r="AL328" s="166"/>
      <c r="AM328" s="166"/>
      <c r="AN328" s="166"/>
      <c r="AO328" s="166"/>
    </row>
    <row r="329" spans="1:41" s="38" customFormat="1">
      <c r="A329" s="18" t="s">
        <v>91</v>
      </c>
      <c r="B329" s="49"/>
      <c r="C329" s="49"/>
      <c r="D329" s="49"/>
      <c r="E329" s="49"/>
      <c r="F329" s="18"/>
      <c r="G329" s="18"/>
      <c r="H329" s="34">
        <f t="shared" si="183"/>
        <v>17</v>
      </c>
      <c r="I329" s="38" t="str">
        <f t="shared" si="190"/>
        <v>Breskve namizne</v>
      </c>
      <c r="J329" s="17" t="str">
        <f t="shared" si="195"/>
        <v>Zdrav obvezno</v>
      </c>
      <c r="K329" s="18"/>
      <c r="L329" s="42"/>
      <c r="M329" s="219"/>
      <c r="N329" s="42"/>
      <c r="O329" s="35">
        <v>395.66877836175684</v>
      </c>
      <c r="P329" s="42"/>
      <c r="Q329" s="35">
        <v>470.84986209820767</v>
      </c>
      <c r="R329" s="35">
        <v>435.69682165348149</v>
      </c>
      <c r="S329" s="35">
        <v>395.66877836175684</v>
      </c>
      <c r="T329" s="35">
        <v>360.42205563168869</v>
      </c>
      <c r="U329" s="35"/>
      <c r="V329" s="35"/>
      <c r="W329" s="32"/>
      <c r="X329" s="147">
        <f t="shared" si="185"/>
        <v>119.00101495188315</v>
      </c>
      <c r="Y329" s="147">
        <f t="shared" si="186"/>
        <v>110.1165534105214</v>
      </c>
      <c r="Z329" s="147">
        <f t="shared" si="187"/>
        <v>100</v>
      </c>
      <c r="AA329" s="147">
        <f t="shared" si="188"/>
        <v>91.091861512044218</v>
      </c>
      <c r="AB329" s="147">
        <f t="shared" si="189"/>
        <v>0</v>
      </c>
      <c r="AD329" s="166"/>
      <c r="AE329" s="166"/>
      <c r="AF329" s="166"/>
      <c r="AG329" s="166"/>
      <c r="AH329" s="166"/>
      <c r="AI329" s="166"/>
      <c r="AJ329" s="166"/>
      <c r="AK329" s="166"/>
      <c r="AL329" s="166"/>
      <c r="AM329" s="166"/>
      <c r="AN329" s="166"/>
      <c r="AO329" s="166"/>
    </row>
    <row r="330" spans="1:41" s="38" customFormat="1">
      <c r="A330" s="18" t="s">
        <v>90</v>
      </c>
      <c r="B330" s="49"/>
      <c r="C330" s="49"/>
      <c r="D330" s="49"/>
      <c r="E330" s="49"/>
      <c r="F330" s="18"/>
      <c r="G330" s="18"/>
      <c r="H330" s="34">
        <f t="shared" si="183"/>
        <v>18</v>
      </c>
      <c r="I330" s="38" t="str">
        <f t="shared" si="190"/>
        <v>Breskve namizne</v>
      </c>
      <c r="J330" s="17" t="str">
        <f t="shared" si="195"/>
        <v>Pokoj dodatno</v>
      </c>
      <c r="K330" s="18"/>
      <c r="L330" s="43"/>
      <c r="M330" s="214"/>
      <c r="N330" s="43"/>
      <c r="O330" s="35">
        <v>538.65189726762605</v>
      </c>
      <c r="P330" s="43"/>
      <c r="Q330" s="35">
        <v>641.00122480604989</v>
      </c>
      <c r="R330" s="35">
        <v>593.14490415149237</v>
      </c>
      <c r="S330" s="35">
        <v>538.65189726762605</v>
      </c>
      <c r="T330" s="35">
        <v>490.66804029102474</v>
      </c>
      <c r="U330" s="35"/>
      <c r="V330" s="35"/>
      <c r="W330" s="201"/>
      <c r="X330" s="147">
        <f t="shared" si="185"/>
        <v>119.00101495188314</v>
      </c>
      <c r="Y330" s="147">
        <f t="shared" si="186"/>
        <v>110.11655341052142</v>
      </c>
      <c r="Z330" s="147">
        <f t="shared" si="187"/>
        <v>100</v>
      </c>
      <c r="AA330" s="147">
        <f t="shared" si="188"/>
        <v>91.091861512044233</v>
      </c>
      <c r="AB330" s="147">
        <f t="shared" si="189"/>
        <v>0</v>
      </c>
      <c r="AD330" s="166"/>
      <c r="AE330" s="166"/>
      <c r="AF330" s="166"/>
      <c r="AG330" s="166"/>
      <c r="AH330" s="166"/>
      <c r="AI330" s="166"/>
      <c r="AJ330" s="166"/>
      <c r="AK330" s="166"/>
      <c r="AL330" s="166"/>
      <c r="AM330" s="166"/>
      <c r="AN330" s="166"/>
      <c r="AO330" s="166"/>
    </row>
    <row r="331" spans="1:41" s="38" customFormat="1">
      <c r="A331" s="18" t="s">
        <v>89</v>
      </c>
      <c r="B331" s="49"/>
      <c r="C331" s="49"/>
      <c r="D331" s="49"/>
      <c r="E331" s="49"/>
      <c r="F331" s="18"/>
      <c r="G331" s="18"/>
      <c r="H331" s="34">
        <f t="shared" si="183"/>
        <v>19</v>
      </c>
      <c r="I331" s="38" t="str">
        <f t="shared" si="190"/>
        <v>Breskve namizne</v>
      </c>
      <c r="J331" s="17" t="str">
        <f t="shared" si="195"/>
        <v>Zdrav dodatno</v>
      </c>
      <c r="K331" s="18"/>
      <c r="L331" s="42"/>
      <c r="M331" s="219"/>
      <c r="N331" s="42"/>
      <c r="O331" s="35">
        <v>315.89327394598183</v>
      </c>
      <c r="P331" s="42"/>
      <c r="Q331" s="35">
        <v>375.91620216045112</v>
      </c>
      <c r="R331" s="35">
        <v>347.85078572497184</v>
      </c>
      <c r="S331" s="35">
        <v>315.89327394598183</v>
      </c>
      <c r="T331" s="35">
        <v>287.75306362873636</v>
      </c>
      <c r="U331" s="35"/>
      <c r="V331" s="35"/>
      <c r="W331" s="32"/>
      <c r="X331" s="147">
        <f t="shared" si="185"/>
        <v>119.00101495188318</v>
      </c>
      <c r="Y331" s="147">
        <f t="shared" si="186"/>
        <v>110.11655341052142</v>
      </c>
      <c r="Z331" s="147">
        <f t="shared" si="187"/>
        <v>100</v>
      </c>
      <c r="AA331" s="147">
        <f t="shared" si="188"/>
        <v>91.091861512044261</v>
      </c>
      <c r="AB331" s="147">
        <f t="shared" si="189"/>
        <v>0</v>
      </c>
      <c r="AD331" s="166"/>
      <c r="AE331" s="166"/>
      <c r="AF331" s="166"/>
      <c r="AG331" s="166"/>
      <c r="AH331" s="166"/>
      <c r="AI331" s="166"/>
      <c r="AJ331" s="166"/>
      <c r="AK331" s="166"/>
      <c r="AL331" s="166"/>
      <c r="AM331" s="166"/>
      <c r="AN331" s="166"/>
      <c r="AO331" s="166"/>
    </row>
    <row r="332" spans="1:41" s="38" customFormat="1">
      <c r="A332" s="18" t="s">
        <v>88</v>
      </c>
      <c r="B332" s="49"/>
      <c r="C332" s="49"/>
      <c r="D332" s="49"/>
      <c r="E332" s="49"/>
      <c r="F332" s="18"/>
      <c r="G332" s="18"/>
      <c r="H332" s="34">
        <f t="shared" si="183"/>
        <v>20</v>
      </c>
      <c r="I332" s="38" t="str">
        <f t="shared" si="190"/>
        <v>Breskve namizne</v>
      </c>
      <c r="J332" s="17" t="str">
        <f t="shared" si="195"/>
        <v>Regresi</v>
      </c>
      <c r="K332" s="18"/>
      <c r="L332" s="43"/>
      <c r="M332" s="214"/>
      <c r="N332" s="43"/>
      <c r="O332" s="35">
        <v>1618.9195600750609</v>
      </c>
      <c r="P332" s="43"/>
      <c r="Q332" s="35">
        <v>1926.530707743884</v>
      </c>
      <c r="R332" s="35">
        <v>1782.6984220434324</v>
      </c>
      <c r="S332" s="35">
        <v>1618.9195600750609</v>
      </c>
      <c r="T332" s="35">
        <v>1474.7039636549705</v>
      </c>
      <c r="U332" s="35"/>
      <c r="V332" s="35"/>
      <c r="W332" s="201"/>
      <c r="X332" s="147">
        <f t="shared" si="185"/>
        <v>119.00101495188315</v>
      </c>
      <c r="Y332" s="147">
        <f t="shared" si="186"/>
        <v>110.1165534105214</v>
      </c>
      <c r="Z332" s="147">
        <f t="shared" si="187"/>
        <v>100</v>
      </c>
      <c r="AA332" s="147">
        <f t="shared" si="188"/>
        <v>91.091861512044247</v>
      </c>
      <c r="AB332" s="147">
        <f t="shared" si="189"/>
        <v>0</v>
      </c>
      <c r="AD332" s="166"/>
      <c r="AE332" s="166"/>
      <c r="AF332" s="166"/>
      <c r="AG332" s="166"/>
      <c r="AH332" s="166"/>
      <c r="AI332" s="166"/>
      <c r="AJ332" s="166"/>
      <c r="AK332" s="166"/>
      <c r="AL332" s="166"/>
      <c r="AM332" s="166"/>
      <c r="AN332" s="166"/>
      <c r="AO332" s="166"/>
    </row>
    <row r="333" spans="1:41" s="38" customFormat="1">
      <c r="A333" s="49" t="s">
        <v>13</v>
      </c>
      <c r="B333" s="49"/>
      <c r="C333" s="49"/>
      <c r="D333" s="49"/>
      <c r="E333" s="49"/>
      <c r="F333" s="18"/>
      <c r="G333" s="18"/>
      <c r="H333" s="34">
        <f t="shared" si="183"/>
        <v>21</v>
      </c>
      <c r="I333" s="38" t="str">
        <f t="shared" si="190"/>
        <v>Breskve namizne</v>
      </c>
      <c r="J333" s="17" t="str">
        <f t="shared" si="195"/>
        <v>SUM element</v>
      </c>
      <c r="K333" s="18"/>
      <c r="L333" s="62"/>
      <c r="M333" s="167"/>
      <c r="N333" s="62"/>
      <c r="O333" s="159">
        <v>23613.779202418908</v>
      </c>
      <c r="P333" s="170"/>
      <c r="Q333" s="159">
        <v>28406.253640985586</v>
      </c>
      <c r="R333" s="159">
        <v>26081.398434519702</v>
      </c>
      <c r="S333" s="159">
        <v>23613.779202418908</v>
      </c>
      <c r="T333" s="159">
        <v>21237.967441366254</v>
      </c>
      <c r="U333" s="159"/>
      <c r="V333" s="159"/>
      <c r="W333" s="201"/>
      <c r="X333" s="147">
        <f t="shared" si="185"/>
        <v>120.29524540517325</v>
      </c>
      <c r="Y333" s="147">
        <f t="shared" si="186"/>
        <v>110.4499123623889</v>
      </c>
      <c r="Z333" s="147">
        <f t="shared" si="187"/>
        <v>100</v>
      </c>
      <c r="AA333" s="147">
        <f t="shared" si="188"/>
        <v>89.938875346097575</v>
      </c>
      <c r="AB333" s="147">
        <f t="shared" si="189"/>
        <v>0</v>
      </c>
      <c r="AD333" s="166"/>
      <c r="AE333" s="166"/>
      <c r="AF333" s="166"/>
      <c r="AG333" s="166"/>
      <c r="AH333" s="166"/>
      <c r="AI333" s="166"/>
      <c r="AJ333" s="166"/>
      <c r="AK333" s="166"/>
      <c r="AL333" s="166"/>
      <c r="AM333" s="166"/>
      <c r="AN333" s="166"/>
      <c r="AO333" s="166"/>
    </row>
    <row r="334" spans="1:41" s="38" customFormat="1">
      <c r="A334" s="49" t="s">
        <v>3</v>
      </c>
      <c r="B334" s="49" t="s">
        <v>0</v>
      </c>
      <c r="C334" s="49" t="s">
        <v>2</v>
      </c>
      <c r="D334" s="49" t="s">
        <v>1</v>
      </c>
      <c r="E334" s="49" t="s">
        <v>0</v>
      </c>
      <c r="F334" s="18"/>
      <c r="G334" s="18"/>
      <c r="H334" s="34">
        <f t="shared" si="183"/>
        <v>22</v>
      </c>
      <c r="I334" s="38" t="str">
        <f t="shared" si="190"/>
        <v>Breskve namizne</v>
      </c>
      <c r="J334" s="106" t="str">
        <f t="shared" ref="J334" si="196">+J297</f>
        <v>Subvencije</v>
      </c>
      <c r="K334" s="18"/>
      <c r="L334" s="62"/>
      <c r="M334" s="167"/>
      <c r="N334" s="62"/>
      <c r="O334" s="183">
        <v>23.94</v>
      </c>
      <c r="P334" s="210"/>
      <c r="Q334" s="183">
        <v>23.94</v>
      </c>
      <c r="R334" s="183">
        <v>23.94</v>
      </c>
      <c r="S334" s="183">
        <v>23.94</v>
      </c>
      <c r="T334" s="183">
        <v>23.94</v>
      </c>
      <c r="U334" s="183"/>
      <c r="V334" s="159"/>
      <c r="W334" s="201"/>
      <c r="X334" s="147">
        <f t="shared" si="185"/>
        <v>100</v>
      </c>
      <c r="Y334" s="147">
        <f t="shared" si="186"/>
        <v>100</v>
      </c>
      <c r="Z334" s="147">
        <f t="shared" si="187"/>
        <v>100</v>
      </c>
      <c r="AA334" s="147">
        <f t="shared" si="188"/>
        <v>100</v>
      </c>
      <c r="AB334" s="147">
        <f t="shared" si="189"/>
        <v>0</v>
      </c>
      <c r="AD334" s="166"/>
      <c r="AE334" s="166"/>
      <c r="AF334" s="166"/>
      <c r="AG334" s="166"/>
      <c r="AH334" s="166"/>
      <c r="AI334" s="166"/>
      <c r="AJ334" s="166"/>
      <c r="AK334" s="166"/>
      <c r="AL334" s="166"/>
      <c r="AM334" s="166"/>
      <c r="AN334" s="166"/>
      <c r="AO334" s="166"/>
    </row>
    <row r="335" spans="1:41" s="38" customFormat="1" ht="13.5" customHeight="1">
      <c r="A335" s="112" t="s">
        <v>14</v>
      </c>
      <c r="B335" s="49"/>
      <c r="C335" s="49"/>
      <c r="D335" s="49"/>
      <c r="E335" s="49"/>
      <c r="F335" s="18"/>
      <c r="G335" s="18"/>
      <c r="H335" s="34">
        <f t="shared" si="183"/>
        <v>23</v>
      </c>
      <c r="I335" s="38" t="str">
        <f t="shared" si="190"/>
        <v>Breskve namizne</v>
      </c>
      <c r="J335" s="198" t="str">
        <f>+J298</f>
        <v>Vrednost pridelave_tržna</v>
      </c>
      <c r="K335" s="18"/>
      <c r="L335" s="62"/>
      <c r="M335" s="167"/>
      <c r="N335" s="62"/>
      <c r="O335" s="183">
        <v>35840.000000000007</v>
      </c>
      <c r="P335" s="210"/>
      <c r="Q335" s="183">
        <v>53760.000000000007</v>
      </c>
      <c r="R335" s="183">
        <v>44800.000000000007</v>
      </c>
      <c r="S335" s="183">
        <v>35840.000000000007</v>
      </c>
      <c r="T335" s="183">
        <v>26880.000000000004</v>
      </c>
      <c r="U335" s="183"/>
      <c r="V335" s="209"/>
      <c r="W335" s="201"/>
      <c r="X335" s="147">
        <f t="shared" si="185"/>
        <v>150</v>
      </c>
      <c r="Y335" s="147">
        <f t="shared" si="186"/>
        <v>125</v>
      </c>
      <c r="Z335" s="147">
        <f t="shared" si="187"/>
        <v>100</v>
      </c>
      <c r="AA335" s="147">
        <f t="shared" si="188"/>
        <v>75</v>
      </c>
      <c r="AB335" s="147">
        <f t="shared" si="189"/>
        <v>0</v>
      </c>
      <c r="AD335" s="166"/>
      <c r="AE335" s="166"/>
      <c r="AF335" s="166"/>
      <c r="AG335" s="166"/>
      <c r="AH335" s="166"/>
      <c r="AI335" s="166"/>
      <c r="AJ335" s="166"/>
      <c r="AK335" s="166"/>
      <c r="AL335" s="166"/>
      <c r="AM335" s="166"/>
      <c r="AN335" s="166"/>
      <c r="AO335" s="166"/>
    </row>
    <row r="336" spans="1:41" s="38" customFormat="1">
      <c r="A336" s="49"/>
      <c r="B336" s="49"/>
      <c r="C336" s="49"/>
      <c r="D336" s="49"/>
      <c r="E336" s="49"/>
      <c r="F336" s="18"/>
      <c r="G336" s="51"/>
      <c r="H336" s="34">
        <f t="shared" si="183"/>
        <v>24</v>
      </c>
      <c r="I336" s="38" t="str">
        <f t="shared" si="190"/>
        <v>Breskve namizne</v>
      </c>
      <c r="J336" s="21"/>
      <c r="K336" s="46"/>
      <c r="L336" s="185"/>
      <c r="M336" s="186"/>
      <c r="N336" s="179"/>
      <c r="O336" s="187">
        <f>+O321-O334-O322</f>
        <v>23589.839202418909</v>
      </c>
      <c r="P336" s="62" t="s">
        <v>87</v>
      </c>
      <c r="Q336" s="187">
        <f t="shared" ref="Q336:T336" si="197">+Q321-Q334-Q322</f>
        <v>28382.313640985587</v>
      </c>
      <c r="R336" s="187">
        <f t="shared" si="197"/>
        <v>26057.4584345197</v>
      </c>
      <c r="S336" s="187">
        <f t="shared" si="197"/>
        <v>23589.839202418909</v>
      </c>
      <c r="T336" s="187">
        <f t="shared" si="197"/>
        <v>21214.027441366259</v>
      </c>
      <c r="U336" s="187"/>
      <c r="V336" s="187"/>
      <c r="W336" s="201"/>
      <c r="X336" s="147">
        <f t="shared" ref="X336:Y338" si="198">R336/$Q336*100</f>
        <v>91.808788966701186</v>
      </c>
      <c r="Y336" s="147">
        <f t="shared" si="198"/>
        <v>83.114574452288181</v>
      </c>
      <c r="Z336" s="147"/>
      <c r="AA336" s="147"/>
      <c r="AB336" s="208"/>
      <c r="AD336" s="166"/>
      <c r="AE336" s="166"/>
      <c r="AF336" s="166"/>
      <c r="AG336" s="166"/>
      <c r="AH336" s="166"/>
      <c r="AI336" s="166"/>
      <c r="AJ336" s="166"/>
      <c r="AK336" s="166"/>
      <c r="AL336" s="166"/>
      <c r="AM336" s="166"/>
      <c r="AN336" s="166"/>
      <c r="AO336" s="166"/>
    </row>
    <row r="337" spans="1:41" s="38" customFormat="1">
      <c r="A337" s="49"/>
      <c r="B337" s="49"/>
      <c r="C337" s="49"/>
      <c r="D337" s="49"/>
      <c r="E337" s="49"/>
      <c r="F337" s="18"/>
      <c r="G337" s="46"/>
      <c r="H337" s="34">
        <f t="shared" si="183"/>
        <v>25</v>
      </c>
      <c r="I337" s="38" t="str">
        <f t="shared" si="190"/>
        <v>Breskve namizne</v>
      </c>
      <c r="J337" s="21"/>
      <c r="K337" s="46"/>
      <c r="L337" s="185"/>
      <c r="M337" s="186"/>
      <c r="N337" s="179"/>
      <c r="O337" s="187">
        <f>O336-O328-O329</f>
        <v>22519.487688676818</v>
      </c>
      <c r="P337" s="62" t="s">
        <v>86</v>
      </c>
      <c r="Q337" s="187">
        <f t="shared" ref="Q337:T337" si="199">Q336-Q328-Q329</f>
        <v>27108.584476079657</v>
      </c>
      <c r="R337" s="187">
        <f t="shared" si="199"/>
        <v>24878.824238209567</v>
      </c>
      <c r="S337" s="187">
        <f t="shared" si="199"/>
        <v>22519.487688676818</v>
      </c>
      <c r="T337" s="187">
        <f t="shared" si="199"/>
        <v>20239.024322776244</v>
      </c>
      <c r="U337" s="187"/>
      <c r="V337" s="187"/>
      <c r="W337" s="211"/>
      <c r="X337" s="179">
        <f t="shared" si="198"/>
        <v>91.774707971795394</v>
      </c>
      <c r="Y337" s="179">
        <f t="shared" si="198"/>
        <v>83.071425985181151</v>
      </c>
      <c r="Z337" s="179"/>
      <c r="AA337" s="179"/>
      <c r="AB337" s="208"/>
      <c r="AD337" s="166"/>
      <c r="AE337" s="166"/>
      <c r="AF337" s="166"/>
      <c r="AG337" s="166"/>
      <c r="AH337" s="166"/>
      <c r="AI337" s="166"/>
      <c r="AJ337" s="166"/>
      <c r="AK337" s="166"/>
      <c r="AL337" s="166"/>
      <c r="AM337" s="166"/>
      <c r="AN337" s="166"/>
      <c r="AO337" s="166"/>
    </row>
    <row r="338" spans="1:41" s="224" customFormat="1">
      <c r="A338" s="49"/>
      <c r="B338" s="49"/>
      <c r="C338" s="49"/>
      <c r="D338" s="49"/>
      <c r="E338" s="49"/>
      <c r="F338" s="18"/>
      <c r="G338" s="17"/>
      <c r="H338" s="34">
        <f t="shared" si="183"/>
        <v>26</v>
      </c>
      <c r="I338" s="38" t="str">
        <f t="shared" si="190"/>
        <v>Breskve namizne</v>
      </c>
      <c r="J338" s="17"/>
      <c r="K338" s="18"/>
      <c r="L338" s="164"/>
      <c r="M338" s="165"/>
      <c r="N338" s="179"/>
      <c r="O338" s="187">
        <f>O337-O330-O331-O332</f>
        <v>20046.022957388148</v>
      </c>
      <c r="P338" s="62" t="s">
        <v>85</v>
      </c>
      <c r="Q338" s="187">
        <f t="shared" ref="Q338:T338" si="200">Q337-Q330-Q331-Q332</f>
        <v>24165.136341369274</v>
      </c>
      <c r="R338" s="187">
        <f t="shared" si="200"/>
        <v>22155.13012628967</v>
      </c>
      <c r="S338" s="187">
        <f t="shared" si="200"/>
        <v>20046.022957388148</v>
      </c>
      <c r="T338" s="187">
        <f t="shared" si="200"/>
        <v>17985.899255201512</v>
      </c>
      <c r="U338" s="187"/>
      <c r="V338" s="187"/>
      <c r="W338" s="211"/>
      <c r="X338" s="179">
        <f t="shared" si="198"/>
        <v>91.682206188762137</v>
      </c>
      <c r="Y338" s="179">
        <f t="shared" si="198"/>
        <v>82.954313496135967</v>
      </c>
      <c r="Z338" s="179"/>
      <c r="AA338" s="179"/>
      <c r="AB338" s="223"/>
      <c r="AC338" s="38"/>
      <c r="AD338" s="166"/>
      <c r="AE338" s="166"/>
      <c r="AF338" s="166"/>
      <c r="AG338" s="166"/>
      <c r="AH338" s="166"/>
      <c r="AI338" s="166"/>
      <c r="AJ338" s="166"/>
      <c r="AK338" s="166"/>
      <c r="AL338" s="166"/>
      <c r="AM338" s="166"/>
      <c r="AN338" s="166"/>
      <c r="AO338" s="166"/>
    </row>
    <row r="339" spans="1:41" s="38" customFormat="1">
      <c r="A339" s="49"/>
      <c r="B339" s="49"/>
      <c r="C339" s="49"/>
      <c r="D339" s="49"/>
      <c r="E339" s="49"/>
      <c r="F339" s="18"/>
      <c r="G339" s="18"/>
      <c r="H339" s="34">
        <f t="shared" si="183"/>
        <v>27</v>
      </c>
      <c r="I339" s="38" t="str">
        <f t="shared" si="190"/>
        <v>Breskve namizne</v>
      </c>
      <c r="J339" s="18"/>
      <c r="K339" s="18"/>
      <c r="L339" s="62"/>
      <c r="M339" s="167"/>
      <c r="N339" s="62"/>
      <c r="O339" s="189"/>
      <c r="P339" s="184"/>
      <c r="Q339" s="189"/>
      <c r="R339" s="189"/>
      <c r="S339" s="189"/>
      <c r="T339" s="189"/>
      <c r="U339" s="189"/>
      <c r="V339" s="189"/>
      <c r="W339" s="211"/>
      <c r="X339" s="164"/>
      <c r="Y339" s="164"/>
      <c r="Z339" s="164"/>
      <c r="AA339" s="164"/>
      <c r="AB339" s="119"/>
      <c r="AD339" s="166"/>
      <c r="AE339" s="166"/>
      <c r="AF339" s="166"/>
      <c r="AG339" s="166"/>
      <c r="AH339" s="166"/>
      <c r="AI339" s="166"/>
      <c r="AJ339" s="166"/>
      <c r="AK339" s="166"/>
      <c r="AL339" s="166"/>
      <c r="AM339" s="166"/>
      <c r="AN339" s="166"/>
      <c r="AO339" s="166"/>
    </row>
    <row r="340" spans="1:41" s="38" customFormat="1">
      <c r="A340" s="49"/>
      <c r="B340" s="49"/>
      <c r="C340" s="49"/>
      <c r="D340" s="49"/>
      <c r="E340" s="49"/>
      <c r="F340" s="18"/>
      <c r="G340" s="18"/>
      <c r="H340" s="34">
        <f t="shared" si="183"/>
        <v>28</v>
      </c>
      <c r="I340" s="38" t="str">
        <f t="shared" si="190"/>
        <v>Breskve namizne</v>
      </c>
      <c r="J340" s="17"/>
      <c r="K340" s="18"/>
      <c r="L340" s="62"/>
      <c r="M340" s="167"/>
      <c r="N340" s="62"/>
      <c r="O340" s="192" t="str">
        <f>+O317&amp;";"&amp;O319</f>
        <v>20000;0,5</v>
      </c>
      <c r="P340" s="212"/>
      <c r="Q340" s="192" t="str">
        <f t="shared" ref="Q340:T340" si="201">+Q317&amp;";"&amp;Q319</f>
        <v>30000;0,5</v>
      </c>
      <c r="R340" s="192" t="str">
        <f t="shared" si="201"/>
        <v>25000;0,5</v>
      </c>
      <c r="S340" s="192" t="str">
        <f t="shared" si="201"/>
        <v>20000;0,5</v>
      </c>
      <c r="T340" s="192" t="str">
        <f t="shared" si="201"/>
        <v>15000;0,5</v>
      </c>
      <c r="U340" s="192"/>
      <c r="V340" s="192"/>
      <c r="W340" s="32"/>
      <c r="X340" s="62"/>
      <c r="Y340" s="62"/>
      <c r="Z340" s="62"/>
      <c r="AA340" s="62"/>
      <c r="AB340" s="119"/>
      <c r="AD340" s="166"/>
      <c r="AE340" s="166"/>
      <c r="AF340" s="166"/>
      <c r="AG340" s="166"/>
      <c r="AH340" s="166"/>
      <c r="AI340" s="166"/>
      <c r="AJ340" s="166"/>
      <c r="AK340" s="166"/>
      <c r="AL340" s="166"/>
      <c r="AM340" s="166"/>
      <c r="AN340" s="166"/>
      <c r="AO340" s="166"/>
    </row>
    <row r="341" spans="1:41" s="38" customFormat="1" ht="12.75" customHeight="1">
      <c r="A341" s="49"/>
      <c r="B341" s="49"/>
      <c r="C341" s="49"/>
      <c r="D341" s="49"/>
      <c r="E341" s="49"/>
      <c r="F341" s="18"/>
      <c r="G341" s="18"/>
      <c r="H341" s="34">
        <f t="shared" si="183"/>
        <v>29</v>
      </c>
      <c r="I341" s="38" t="str">
        <f t="shared" si="190"/>
        <v>Breskve namizne</v>
      </c>
      <c r="J341" s="18"/>
      <c r="K341" s="18"/>
      <c r="L341" s="62"/>
      <c r="M341" s="167"/>
      <c r="N341" s="62"/>
      <c r="O341" s="194">
        <f>+O336/O317*1000</f>
        <v>1179.4919601209456</v>
      </c>
      <c r="P341" s="180" t="s">
        <v>84</v>
      </c>
      <c r="Q341" s="194">
        <f t="shared" ref="Q341:T341" si="202">+Q336/Q317*1000</f>
        <v>946.07712136618625</v>
      </c>
      <c r="R341" s="194">
        <f t="shared" si="202"/>
        <v>1042.2983373807879</v>
      </c>
      <c r="S341" s="194">
        <f t="shared" si="202"/>
        <v>1179.4919601209456</v>
      </c>
      <c r="T341" s="194">
        <f t="shared" si="202"/>
        <v>1414.2684960910838</v>
      </c>
      <c r="U341" s="194"/>
      <c r="V341" s="194"/>
      <c r="W341" s="32"/>
      <c r="X341" s="62">
        <f t="shared" ref="X341:Y348" si="203">R341/$Q341*100</f>
        <v>110.1705467600414</v>
      </c>
      <c r="Y341" s="62">
        <f t="shared" si="203"/>
        <v>124.67186167843226</v>
      </c>
      <c r="Z341" s="62"/>
      <c r="AA341" s="62"/>
      <c r="AB341" s="119"/>
      <c r="AD341" s="166"/>
      <c r="AE341" s="166"/>
      <c r="AF341" s="166"/>
      <c r="AG341" s="166"/>
      <c r="AH341" s="166"/>
      <c r="AI341" s="166"/>
      <c r="AJ341" s="166"/>
      <c r="AK341" s="166"/>
      <c r="AL341" s="166"/>
      <c r="AM341" s="166"/>
      <c r="AN341" s="166"/>
      <c r="AO341" s="166"/>
    </row>
    <row r="342" spans="1:41" s="38" customFormat="1">
      <c r="A342" s="49"/>
      <c r="B342" s="49"/>
      <c r="C342" s="49"/>
      <c r="D342" s="49"/>
      <c r="E342" s="49"/>
      <c r="F342" s="18"/>
      <c r="G342" s="18"/>
      <c r="H342" s="34">
        <f t="shared" si="183"/>
        <v>30</v>
      </c>
      <c r="I342" s="38" t="str">
        <f t="shared" si="190"/>
        <v>Breskve namizne</v>
      </c>
      <c r="J342" s="18"/>
      <c r="K342" s="18"/>
      <c r="L342" s="62"/>
      <c r="M342" s="167"/>
      <c r="N342" s="62"/>
      <c r="O342" s="194">
        <f>+O341*O337/O336</f>
        <v>1125.9743844338411</v>
      </c>
      <c r="P342" s="180" t="s">
        <v>83</v>
      </c>
      <c r="Q342" s="194">
        <f t="shared" ref="Q342:T342" si="204">+Q341*Q337/Q336</f>
        <v>903.6194825359886</v>
      </c>
      <c r="R342" s="194">
        <f t="shared" si="204"/>
        <v>995.15296952838264</v>
      </c>
      <c r="S342" s="194">
        <f t="shared" si="204"/>
        <v>1125.9743844338411</v>
      </c>
      <c r="T342" s="194">
        <f t="shared" si="204"/>
        <v>1349.2682881850828</v>
      </c>
      <c r="U342" s="194"/>
      <c r="V342" s="194"/>
      <c r="W342" s="32"/>
      <c r="X342" s="62">
        <f t="shared" si="203"/>
        <v>110.12964956615447</v>
      </c>
      <c r="Y342" s="62">
        <f t="shared" si="203"/>
        <v>124.60713897777174</v>
      </c>
      <c r="Z342" s="62"/>
      <c r="AA342" s="62"/>
      <c r="AB342" s="119"/>
      <c r="AD342" s="166"/>
      <c r="AE342" s="166"/>
      <c r="AF342" s="166"/>
      <c r="AG342" s="166"/>
      <c r="AH342" s="166"/>
      <c r="AI342" s="166"/>
      <c r="AJ342" s="166"/>
      <c r="AK342" s="166"/>
      <c r="AL342" s="166"/>
      <c r="AM342" s="166"/>
      <c r="AN342" s="166"/>
      <c r="AO342" s="166"/>
    </row>
    <row r="343" spans="1:41" s="38" customFormat="1">
      <c r="A343" s="49"/>
      <c r="B343" s="49"/>
      <c r="C343" s="49"/>
      <c r="D343" s="49"/>
      <c r="E343" s="49"/>
      <c r="F343" s="18"/>
      <c r="G343" s="18"/>
      <c r="H343" s="34">
        <f t="shared" si="183"/>
        <v>31</v>
      </c>
      <c r="I343" s="38" t="str">
        <f t="shared" si="190"/>
        <v>Breskve namizne</v>
      </c>
      <c r="J343" s="18"/>
      <c r="K343" s="18"/>
      <c r="L343" s="62"/>
      <c r="M343" s="167"/>
      <c r="N343" s="62"/>
      <c r="O343" s="194">
        <f>+O341*O338/O336</f>
        <v>1002.3011478694076</v>
      </c>
      <c r="P343" s="180" t="s">
        <v>82</v>
      </c>
      <c r="Q343" s="194">
        <f t="shared" ref="Q343:T343" si="205">+Q341*Q338/Q336</f>
        <v>805.5045447123091</v>
      </c>
      <c r="R343" s="194">
        <f t="shared" si="205"/>
        <v>886.20520505158663</v>
      </c>
      <c r="S343" s="194">
        <f t="shared" si="205"/>
        <v>1002.3011478694076</v>
      </c>
      <c r="T343" s="194">
        <f t="shared" si="205"/>
        <v>1199.0599503467672</v>
      </c>
      <c r="U343" s="194"/>
      <c r="V343" s="194"/>
      <c r="W343" s="32"/>
      <c r="X343" s="62">
        <f t="shared" si="203"/>
        <v>110.01864742651455</v>
      </c>
      <c r="Y343" s="62">
        <f t="shared" si="203"/>
        <v>124.43147024420398</v>
      </c>
      <c r="Z343" s="62"/>
      <c r="AA343" s="62"/>
      <c r="AB343" s="119"/>
      <c r="AD343" s="166"/>
      <c r="AE343" s="166"/>
      <c r="AF343" s="166"/>
      <c r="AG343" s="166"/>
      <c r="AH343" s="166"/>
      <c r="AI343" s="166"/>
      <c r="AJ343" s="166"/>
      <c r="AK343" s="166"/>
      <c r="AL343" s="166"/>
      <c r="AM343" s="166"/>
      <c r="AN343" s="166"/>
      <c r="AO343" s="166"/>
    </row>
    <row r="344" spans="1:41" s="38" customFormat="1">
      <c r="A344" s="49"/>
      <c r="B344" s="49"/>
      <c r="C344" s="49"/>
      <c r="D344" s="49"/>
      <c r="E344" s="49"/>
      <c r="F344" s="18"/>
      <c r="G344" s="18"/>
      <c r="H344" s="34">
        <f t="shared" si="183"/>
        <v>32</v>
      </c>
      <c r="I344" s="38" t="str">
        <f t="shared" si="190"/>
        <v>Breskve namizne</v>
      </c>
      <c r="J344" s="18"/>
      <c r="K344" s="18"/>
      <c r="L344" s="62"/>
      <c r="M344" s="167"/>
      <c r="N344" s="62"/>
      <c r="O344" s="194">
        <f>+O341-O343</f>
        <v>177.19081225153798</v>
      </c>
      <c r="P344" s="180" t="s">
        <v>81</v>
      </c>
      <c r="Q344" s="194">
        <f t="shared" ref="Q344:T344" si="206">+Q341-Q343</f>
        <v>140.57257665387715</v>
      </c>
      <c r="R344" s="194">
        <f t="shared" si="206"/>
        <v>156.09313232920124</v>
      </c>
      <c r="S344" s="194">
        <f t="shared" si="206"/>
        <v>177.19081225153798</v>
      </c>
      <c r="T344" s="194">
        <f t="shared" si="206"/>
        <v>215.20854574431655</v>
      </c>
      <c r="U344" s="194"/>
      <c r="V344" s="194"/>
      <c r="W344" s="32"/>
      <c r="X344" s="62">
        <f t="shared" si="203"/>
        <v>111.04095552971143</v>
      </c>
      <c r="Y344" s="62">
        <f t="shared" si="203"/>
        <v>126.04934509226757</v>
      </c>
      <c r="Z344" s="62"/>
      <c r="AA344" s="62"/>
      <c r="AB344" s="119"/>
      <c r="AD344" s="166"/>
      <c r="AE344" s="166"/>
      <c r="AF344" s="166"/>
      <c r="AG344" s="166"/>
      <c r="AH344" s="166"/>
      <c r="AI344" s="166"/>
      <c r="AJ344" s="166"/>
      <c r="AK344" s="166"/>
      <c r="AL344" s="166"/>
      <c r="AM344" s="166"/>
      <c r="AN344" s="166"/>
      <c r="AO344" s="166"/>
    </row>
    <row r="345" spans="1:41" s="38" customFormat="1">
      <c r="A345" s="49"/>
      <c r="B345" s="49"/>
      <c r="C345" s="49"/>
      <c r="D345" s="49"/>
      <c r="E345" s="49"/>
      <c r="F345" s="18"/>
      <c r="G345" s="17"/>
      <c r="H345" s="34">
        <f t="shared" si="183"/>
        <v>33</v>
      </c>
      <c r="I345" s="38" t="str">
        <f t="shared" si="190"/>
        <v>Breskve namizne</v>
      </c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32"/>
      <c r="X345" s="62" t="e">
        <f t="shared" si="203"/>
        <v>#DIV/0!</v>
      </c>
      <c r="Y345" s="62" t="e">
        <f t="shared" si="203"/>
        <v>#DIV/0!</v>
      </c>
      <c r="Z345" s="62"/>
      <c r="AA345" s="62"/>
      <c r="AB345" s="223"/>
      <c r="AD345" s="166"/>
      <c r="AE345" s="166"/>
      <c r="AF345" s="166"/>
      <c r="AG345" s="166"/>
      <c r="AH345" s="166"/>
      <c r="AI345" s="166"/>
      <c r="AJ345" s="166"/>
      <c r="AK345" s="166"/>
      <c r="AL345" s="166"/>
      <c r="AM345" s="166"/>
      <c r="AN345" s="166"/>
      <c r="AO345" s="166"/>
    </row>
    <row r="346" spans="1:41" s="38" customFormat="1">
      <c r="A346" s="49" t="s">
        <v>15</v>
      </c>
      <c r="B346" s="49"/>
      <c r="C346" s="49"/>
      <c r="D346" s="49"/>
      <c r="E346" s="49"/>
      <c r="F346" s="18">
        <v>1000</v>
      </c>
      <c r="G346" s="18"/>
      <c r="H346" s="34">
        <f t="shared" si="183"/>
        <v>34</v>
      </c>
      <c r="I346" s="38" t="str">
        <f t="shared" si="190"/>
        <v>Breskve namizne</v>
      </c>
      <c r="J346" s="196" t="s">
        <v>80</v>
      </c>
      <c r="K346" s="18"/>
      <c r="L346" s="62"/>
      <c r="M346" s="167"/>
      <c r="N346" s="213"/>
      <c r="O346" s="197">
        <v>1792.0000000000002</v>
      </c>
      <c r="P346" s="196" t="str">
        <f>P347</f>
        <v>Odkupna cena; vir podatkov SURS; preračuni KIS</v>
      </c>
      <c r="Q346" s="197">
        <v>1792.0000000000002</v>
      </c>
      <c r="R346" s="197">
        <v>1792.0000000000002</v>
      </c>
      <c r="S346" s="197">
        <v>1792.0000000000002</v>
      </c>
      <c r="T346" s="197">
        <v>1792.0000000000002</v>
      </c>
      <c r="U346" s="197"/>
      <c r="V346" s="197"/>
      <c r="W346" s="201"/>
      <c r="X346" s="164">
        <f t="shared" si="203"/>
        <v>100</v>
      </c>
      <c r="Y346" s="164">
        <f t="shared" si="203"/>
        <v>100</v>
      </c>
      <c r="Z346" s="164"/>
      <c r="AA346" s="164"/>
      <c r="AB346" s="119"/>
      <c r="AD346" s="166"/>
      <c r="AE346" s="166"/>
      <c r="AF346" s="166"/>
      <c r="AG346" s="166"/>
      <c r="AH346" s="166"/>
      <c r="AI346" s="166"/>
      <c r="AJ346" s="166"/>
      <c r="AK346" s="166"/>
      <c r="AL346" s="166"/>
      <c r="AM346" s="166"/>
      <c r="AN346" s="166"/>
      <c r="AO346" s="166"/>
    </row>
    <row r="347" spans="1:41" s="38" customFormat="1">
      <c r="A347" s="49"/>
      <c r="B347" s="49"/>
      <c r="C347" s="49"/>
      <c r="D347" s="49"/>
      <c r="E347" s="49"/>
      <c r="F347" s="18"/>
      <c r="G347" s="17"/>
      <c r="H347" s="34">
        <f t="shared" si="183"/>
        <v>35</v>
      </c>
      <c r="I347" s="38" t="str">
        <f t="shared" si="190"/>
        <v>Breskve namizne</v>
      </c>
      <c r="J347" s="198" t="str">
        <f>+J310</f>
        <v>Bruto dodana vrednost</v>
      </c>
      <c r="K347" s="18"/>
      <c r="L347" s="164"/>
      <c r="M347" s="165"/>
      <c r="N347" s="164"/>
      <c r="O347" s="199">
        <f>O335+O334+O322-O320</f>
        <v>26440.44984082122</v>
      </c>
      <c r="P347" s="195" t="s">
        <v>80</v>
      </c>
      <c r="Q347" s="199">
        <f t="shared" ref="Q347:T347" si="207">Q335+Q334+Q322-Q320</f>
        <v>41275.808815155855</v>
      </c>
      <c r="R347" s="199">
        <f t="shared" si="207"/>
        <v>33853.904979596671</v>
      </c>
      <c r="S347" s="199">
        <f t="shared" si="207"/>
        <v>26440.44984082122</v>
      </c>
      <c r="T347" s="199">
        <f t="shared" si="207"/>
        <v>19066.542707159875</v>
      </c>
      <c r="U347" s="199"/>
      <c r="V347" s="199"/>
      <c r="W347" s="32"/>
      <c r="X347" s="62">
        <f t="shared" si="203"/>
        <v>82.018756146496216</v>
      </c>
      <c r="Y347" s="62">
        <f t="shared" si="203"/>
        <v>64.057981175435344</v>
      </c>
      <c r="Z347" s="62"/>
      <c r="AA347" s="62"/>
      <c r="AB347" s="223"/>
      <c r="AD347" s="166"/>
      <c r="AE347" s="166"/>
      <c r="AF347" s="166"/>
      <c r="AG347" s="166"/>
      <c r="AH347" s="166"/>
      <c r="AI347" s="166"/>
      <c r="AJ347" s="166"/>
      <c r="AK347" s="166"/>
      <c r="AL347" s="166"/>
      <c r="AM347" s="166"/>
      <c r="AN347" s="166"/>
      <c r="AO347" s="166"/>
    </row>
    <row r="348" spans="1:41" s="38" customFormat="1">
      <c r="A348" s="112" t="s">
        <v>11</v>
      </c>
      <c r="B348" s="49"/>
      <c r="C348" s="49"/>
      <c r="D348" s="49"/>
      <c r="E348" s="49"/>
      <c r="F348" s="18"/>
      <c r="G348" s="62"/>
      <c r="H348" s="34">
        <f t="shared" si="183"/>
        <v>36</v>
      </c>
      <c r="I348" s="38" t="str">
        <f t="shared" si="190"/>
        <v>Breskve namizne</v>
      </c>
      <c r="J348" s="182" t="s">
        <v>11</v>
      </c>
      <c r="K348" s="46"/>
      <c r="L348" s="62"/>
      <c r="M348" s="167"/>
      <c r="N348" s="62"/>
      <c r="O348" s="35">
        <v>5715.4068384329612</v>
      </c>
      <c r="P348" s="42"/>
      <c r="Q348" s="35">
        <v>5945.8179662419225</v>
      </c>
      <c r="R348" s="35">
        <v>5847.5400637655521</v>
      </c>
      <c r="S348" s="35">
        <v>5715.4068384329612</v>
      </c>
      <c r="T348" s="35">
        <v>5616.5742298555797</v>
      </c>
      <c r="U348" s="35"/>
      <c r="V348" s="159"/>
      <c r="W348" s="201"/>
      <c r="X348" s="164">
        <f t="shared" si="203"/>
        <v>98.347108790845013</v>
      </c>
      <c r="Y348" s="164">
        <f t="shared" si="203"/>
        <v>96.124820350754987</v>
      </c>
      <c r="Z348" s="164"/>
      <c r="AA348" s="164"/>
      <c r="AB348" s="119"/>
      <c r="AD348" s="166"/>
      <c r="AE348" s="166"/>
      <c r="AF348" s="166"/>
      <c r="AG348" s="166"/>
      <c r="AH348" s="166"/>
      <c r="AI348" s="166"/>
      <c r="AJ348" s="166"/>
      <c r="AK348" s="166"/>
      <c r="AL348" s="166"/>
      <c r="AM348" s="166"/>
      <c r="AN348" s="166"/>
      <c r="AO348" s="166"/>
    </row>
    <row r="349" spans="1:41" s="38" customFormat="1">
      <c r="A349" s="49"/>
      <c r="B349" s="49"/>
      <c r="C349" s="49"/>
      <c r="D349" s="49"/>
      <c r="E349" s="49"/>
      <c r="G349" s="119"/>
      <c r="H349" s="34">
        <f t="shared" si="183"/>
        <v>37</v>
      </c>
      <c r="J349" s="18" t="s">
        <v>157</v>
      </c>
      <c r="K349" s="46"/>
      <c r="L349" s="62"/>
      <c r="M349" s="167"/>
      <c r="N349" s="62"/>
      <c r="O349" s="220">
        <f>+O347-O348</f>
        <v>20725.043002388258</v>
      </c>
      <c r="P349" s="42"/>
      <c r="Q349" s="220">
        <f t="shared" ref="Q349:T349" si="208">+Q347-Q348</f>
        <v>35329.990848913934</v>
      </c>
      <c r="R349" s="220">
        <f t="shared" si="208"/>
        <v>28006.36491583112</v>
      </c>
      <c r="S349" s="220">
        <f t="shared" si="208"/>
        <v>20725.043002388258</v>
      </c>
      <c r="T349" s="220">
        <f t="shared" si="208"/>
        <v>13449.968477304295</v>
      </c>
      <c r="U349" s="220"/>
      <c r="V349" s="159"/>
      <c r="W349" s="201"/>
      <c r="X349" s="164"/>
      <c r="Y349" s="164"/>
      <c r="Z349" s="164"/>
      <c r="AA349" s="164"/>
      <c r="AB349" s="119"/>
      <c r="AD349" s="166"/>
      <c r="AE349" s="166"/>
      <c r="AF349" s="166"/>
      <c r="AG349" s="166"/>
      <c r="AH349" s="166"/>
      <c r="AI349" s="166"/>
      <c r="AJ349" s="166"/>
      <c r="AK349" s="166"/>
      <c r="AL349" s="166"/>
      <c r="AM349" s="166"/>
      <c r="AN349" s="166"/>
      <c r="AO349" s="166"/>
    </row>
    <row r="350" spans="1:41" s="38" customFormat="1">
      <c r="A350" s="49"/>
      <c r="B350" s="49"/>
      <c r="C350" s="49"/>
      <c r="D350" s="49"/>
      <c r="E350" s="49"/>
      <c r="F350" s="114"/>
      <c r="G350" s="114"/>
      <c r="H350" s="61"/>
      <c r="I350" s="61" t="str">
        <f>+J352</f>
        <v>Grozdje-vertikala podravska</v>
      </c>
      <c r="J350" s="60" t="s">
        <v>10</v>
      </c>
      <c r="K350" s="61"/>
      <c r="L350" s="61"/>
      <c r="M350" s="61"/>
      <c r="N350" s="61"/>
      <c r="O350" s="145" t="e">
        <f>O358-O370+O363-'2026'!#REF!</f>
        <v>#REF!</v>
      </c>
      <c r="P350" s="61"/>
      <c r="Q350" s="145" t="e">
        <f>Q358-Q370+Q363-'2026'!#REF!</f>
        <v>#REF!</v>
      </c>
      <c r="R350" s="145" t="e">
        <f>R358-R370+R363-'2026'!#REF!</f>
        <v>#REF!</v>
      </c>
      <c r="S350" s="145" t="e">
        <f>S358-S370+S363-'2026'!#REF!</f>
        <v>#REF!</v>
      </c>
      <c r="T350" s="145" t="e">
        <f>T358-T370+T363-'2026'!#REF!</f>
        <v>#REF!</v>
      </c>
      <c r="U350" s="145" t="e">
        <f>U358-U370+U363-'2026'!#REF!</f>
        <v>#REF!</v>
      </c>
      <c r="V350" s="145" t="e">
        <f>V358-V370+V363-'2026'!#REF!</f>
        <v>#REF!</v>
      </c>
      <c r="W350" s="61"/>
      <c r="X350" s="61"/>
      <c r="Y350" s="61"/>
      <c r="Z350" s="61"/>
      <c r="AA350" s="61"/>
      <c r="AB350" s="114"/>
      <c r="AC350" s="114"/>
      <c r="AD350" s="166"/>
      <c r="AE350" s="166"/>
      <c r="AF350" s="166"/>
      <c r="AG350" s="166"/>
      <c r="AH350" s="166"/>
      <c r="AI350" s="166"/>
      <c r="AJ350" s="166"/>
      <c r="AK350" s="166"/>
      <c r="AL350" s="166"/>
      <c r="AM350" s="166"/>
      <c r="AN350" s="166"/>
      <c r="AO350" s="166"/>
    </row>
    <row r="351" spans="1:41" s="38" customFormat="1">
      <c r="A351" s="49"/>
      <c r="B351" s="49"/>
      <c r="C351" s="49"/>
      <c r="D351" s="49"/>
      <c r="E351" s="49"/>
      <c r="G351" s="115"/>
      <c r="H351" s="34"/>
      <c r="I351" s="38" t="str">
        <f t="shared" ref="I351:I363" si="209">+I350</f>
        <v>Grozdje-vertikala podravska</v>
      </c>
      <c r="J351" s="36" t="s">
        <v>116</v>
      </c>
      <c r="K351" s="37"/>
      <c r="L351" s="37"/>
      <c r="M351" s="148"/>
      <c r="N351" s="37"/>
      <c r="O351" s="204" t="e">
        <f>#REF!</f>
        <v>#REF!</v>
      </c>
      <c r="P351" s="204"/>
      <c r="Q351" s="149" t="s">
        <v>100</v>
      </c>
      <c r="R351" s="149" t="s">
        <v>101</v>
      </c>
      <c r="S351" s="149" t="s">
        <v>99</v>
      </c>
      <c r="T351" s="149" t="s">
        <v>178</v>
      </c>
      <c r="U351" s="149" t="s">
        <v>177</v>
      </c>
      <c r="V351" s="37" t="s">
        <v>179</v>
      </c>
      <c r="W351" s="37"/>
      <c r="X351" s="149"/>
      <c r="Y351" s="149"/>
      <c r="Z351" s="37"/>
      <c r="AA351" s="37"/>
      <c r="AB351" s="114"/>
      <c r="AC351" s="114"/>
      <c r="AD351" s="166"/>
      <c r="AE351" s="166"/>
      <c r="AF351" s="166"/>
      <c r="AG351" s="166"/>
      <c r="AH351" s="166"/>
      <c r="AI351" s="166"/>
      <c r="AJ351" s="166"/>
      <c r="AK351" s="166"/>
      <c r="AL351" s="166"/>
      <c r="AM351" s="166"/>
      <c r="AN351" s="166"/>
      <c r="AO351" s="166"/>
    </row>
    <row r="352" spans="1:41" s="38" customFormat="1">
      <c r="A352" s="49"/>
      <c r="B352" s="49"/>
      <c r="C352" s="49"/>
      <c r="D352" s="49"/>
      <c r="E352" s="49"/>
      <c r="F352" s="38" t="e">
        <f>#REF!</f>
        <v>#REF!</v>
      </c>
      <c r="G352" s="115"/>
      <c r="H352" s="34"/>
      <c r="I352" s="38" t="str">
        <f t="shared" si="209"/>
        <v>Grozdje-vertikala podravska</v>
      </c>
      <c r="J352" s="40" t="s">
        <v>194</v>
      </c>
      <c r="K352" s="18" t="str">
        <f>+K$56</f>
        <v>Enota</v>
      </c>
      <c r="L352" s="102"/>
      <c r="M352" s="150"/>
      <c r="N352" s="144"/>
      <c r="O352" s="107"/>
      <c r="P352" s="107"/>
      <c r="Q352" s="18" t="s">
        <v>68</v>
      </c>
      <c r="R352" s="18" t="s">
        <v>67</v>
      </c>
      <c r="S352" s="107" t="s">
        <v>66</v>
      </c>
      <c r="T352" s="18" t="s">
        <v>58</v>
      </c>
      <c r="U352" s="107" t="s">
        <v>76</v>
      </c>
      <c r="V352" s="38" t="s">
        <v>125</v>
      </c>
      <c r="Z352" s="38" t="s">
        <v>69</v>
      </c>
      <c r="AD352" s="166"/>
      <c r="AE352" s="166"/>
      <c r="AF352" s="166"/>
      <c r="AG352" s="166"/>
      <c r="AH352" s="166"/>
      <c r="AI352" s="166"/>
      <c r="AJ352" s="166"/>
      <c r="AK352" s="166"/>
      <c r="AL352" s="166"/>
      <c r="AM352" s="166"/>
      <c r="AN352" s="166"/>
      <c r="AO352" s="166"/>
    </row>
    <row r="353" spans="1:41" s="38" customFormat="1">
      <c r="A353" s="49"/>
      <c r="B353" s="49"/>
      <c r="C353" s="49"/>
      <c r="D353" s="49"/>
      <c r="E353" s="49"/>
      <c r="G353" s="115"/>
      <c r="H353" s="34"/>
      <c r="I353" s="38" t="str">
        <f t="shared" si="209"/>
        <v>Grozdje-vertikala podravska</v>
      </c>
      <c r="J353" s="17" t="s">
        <v>65</v>
      </c>
      <c r="K353" s="18"/>
      <c r="L353" s="102"/>
      <c r="M353" s="150"/>
      <c r="N353" s="144"/>
      <c r="O353" s="107"/>
      <c r="P353" s="107"/>
      <c r="Q353" s="102"/>
      <c r="R353" s="102"/>
      <c r="S353" s="102"/>
      <c r="T353" s="102"/>
      <c r="U353" s="102"/>
      <c r="V353" s="102"/>
      <c r="W353" s="102"/>
      <c r="X353" s="144"/>
      <c r="Y353" s="102"/>
      <c r="Z353" s="102">
        <f>R353</f>
        <v>0</v>
      </c>
      <c r="AA353" s="102">
        <f>S353</f>
        <v>0</v>
      </c>
      <c r="AD353" s="166"/>
      <c r="AE353" s="166"/>
      <c r="AF353" s="166"/>
      <c r="AG353" s="166"/>
      <c r="AH353" s="166"/>
      <c r="AI353" s="166"/>
      <c r="AJ353" s="166"/>
      <c r="AK353" s="166"/>
      <c r="AL353" s="166"/>
      <c r="AM353" s="166"/>
      <c r="AN353" s="166"/>
      <c r="AO353" s="166"/>
    </row>
    <row r="354" spans="1:41" s="38" customFormat="1">
      <c r="A354" s="49" t="s">
        <v>9</v>
      </c>
      <c r="B354" s="49"/>
      <c r="C354" s="49"/>
      <c r="D354" s="49"/>
      <c r="E354" s="49"/>
      <c r="F354" s="18"/>
      <c r="G354" s="115"/>
      <c r="H354" s="34"/>
      <c r="I354" s="38" t="str">
        <f t="shared" si="209"/>
        <v>Grozdje-vertikala podravska</v>
      </c>
      <c r="J354" s="17" t="s">
        <v>8</v>
      </c>
      <c r="K354" s="18" t="s">
        <v>57</v>
      </c>
      <c r="L354" s="152"/>
      <c r="M354" s="205"/>
      <c r="N354" s="154"/>
      <c r="O354" s="159">
        <v>8000</v>
      </c>
      <c r="P354" s="18"/>
      <c r="Q354" s="159">
        <v>12000</v>
      </c>
      <c r="R354" s="159">
        <v>10000</v>
      </c>
      <c r="S354" s="159">
        <v>8000</v>
      </c>
      <c r="T354" s="159">
        <v>7000</v>
      </c>
      <c r="U354" s="159">
        <v>10125</v>
      </c>
      <c r="V354" s="159">
        <v>9000</v>
      </c>
      <c r="W354" s="102"/>
      <c r="X354" s="147"/>
      <c r="Y354" s="147"/>
      <c r="Z354" s="147">
        <f>R354/$Q354*100</f>
        <v>83.333333333333343</v>
      </c>
      <c r="AA354" s="147">
        <f>S354/$Q354*100</f>
        <v>66.666666666666657</v>
      </c>
      <c r="AB354" s="147"/>
      <c r="AD354" s="166"/>
      <c r="AE354" s="166"/>
      <c r="AF354" s="166"/>
      <c r="AG354" s="166"/>
      <c r="AH354" s="166"/>
      <c r="AI354" s="166"/>
      <c r="AJ354" s="166"/>
      <c r="AK354" s="166"/>
      <c r="AL354" s="166"/>
      <c r="AM354" s="166"/>
      <c r="AN354" s="166"/>
      <c r="AO354" s="166"/>
    </row>
    <row r="355" spans="1:41" s="38" customFormat="1">
      <c r="A355" s="49" t="s">
        <v>75</v>
      </c>
      <c r="B355" s="49"/>
      <c r="C355" s="49"/>
      <c r="D355" s="49"/>
      <c r="E355" s="49"/>
      <c r="F355" s="18"/>
      <c r="G355" s="115"/>
      <c r="H355" s="34"/>
      <c r="I355" s="38" t="str">
        <f t="shared" si="209"/>
        <v>Grozdje-vertikala podravska</v>
      </c>
      <c r="J355" s="17"/>
      <c r="K355" s="18" t="s">
        <v>56</v>
      </c>
      <c r="L355" s="152"/>
      <c r="M355" s="205"/>
      <c r="N355" s="154"/>
      <c r="O355" s="152">
        <f>O354/O356</f>
        <v>2</v>
      </c>
      <c r="P355" s="18"/>
      <c r="Q355" s="225">
        <f t="shared" ref="Q355:T355" si="210">Q354/Q356</f>
        <v>3</v>
      </c>
      <c r="R355" s="225">
        <f t="shared" si="210"/>
        <v>2.5</v>
      </c>
      <c r="S355" s="225">
        <f t="shared" si="210"/>
        <v>2</v>
      </c>
      <c r="T355" s="225">
        <f t="shared" si="210"/>
        <v>1.75</v>
      </c>
      <c r="U355" s="225">
        <f t="shared" ref="U355" si="211">U354/U356</f>
        <v>2.25</v>
      </c>
      <c r="V355" s="225">
        <f t="shared" ref="V355" si="212">V354/V356</f>
        <v>2</v>
      </c>
      <c r="W355" s="102"/>
      <c r="X355" s="102"/>
      <c r="Y355" s="102"/>
      <c r="Z355" s="102"/>
      <c r="AA355" s="102"/>
      <c r="AD355" s="166"/>
      <c r="AE355" s="166"/>
      <c r="AF355" s="166"/>
      <c r="AG355" s="166"/>
      <c r="AH355" s="166"/>
      <c r="AI355" s="166"/>
      <c r="AJ355" s="166"/>
      <c r="AK355" s="166"/>
      <c r="AL355" s="166"/>
      <c r="AM355" s="166"/>
      <c r="AN355" s="166"/>
      <c r="AO355" s="166"/>
    </row>
    <row r="356" spans="1:41" s="38" customFormat="1">
      <c r="A356" s="49" t="s">
        <v>166</v>
      </c>
      <c r="B356" s="49"/>
      <c r="C356" s="49"/>
      <c r="D356" s="49"/>
      <c r="E356" s="49"/>
      <c r="F356" s="18"/>
      <c r="G356" s="115"/>
      <c r="H356" s="34"/>
      <c r="I356" s="38" t="str">
        <f t="shared" si="209"/>
        <v>Grozdje-vertikala podravska</v>
      </c>
      <c r="J356" s="17" t="s">
        <v>55</v>
      </c>
      <c r="K356" s="18" t="s">
        <v>54</v>
      </c>
      <c r="L356" s="102"/>
      <c r="M356" s="150"/>
      <c r="N356" s="144"/>
      <c r="O356" s="158">
        <v>4000</v>
      </c>
      <c r="P356" s="159"/>
      <c r="Q356" s="159">
        <v>4000</v>
      </c>
      <c r="R356" s="159">
        <v>4000</v>
      </c>
      <c r="S356" s="159">
        <v>4000</v>
      </c>
      <c r="T356" s="159">
        <v>4000</v>
      </c>
      <c r="U356" s="159">
        <v>4500</v>
      </c>
      <c r="V356" s="159">
        <v>4500</v>
      </c>
      <c r="W356" s="102"/>
      <c r="X356" s="147"/>
      <c r="Y356" s="147"/>
      <c r="Z356" s="147">
        <f>Q356/$R356*100</f>
        <v>100</v>
      </c>
      <c r="AA356" s="147">
        <f>R356/$R356*100</f>
        <v>100</v>
      </c>
      <c r="AC356" s="226"/>
      <c r="AD356" s="166"/>
      <c r="AE356" s="166"/>
      <c r="AF356" s="166"/>
      <c r="AG356" s="166"/>
      <c r="AH356" s="166"/>
      <c r="AI356" s="166"/>
      <c r="AJ356" s="166"/>
      <c r="AK356" s="166"/>
      <c r="AL356" s="166"/>
      <c r="AM356" s="166"/>
      <c r="AN356" s="166"/>
      <c r="AO356" s="166"/>
    </row>
    <row r="357" spans="1:41" s="38" customFormat="1">
      <c r="A357" s="112" t="s">
        <v>12</v>
      </c>
      <c r="B357" s="49"/>
      <c r="C357" s="49"/>
      <c r="D357" s="49"/>
      <c r="E357" s="49"/>
      <c r="F357" s="18"/>
      <c r="G357" s="115"/>
      <c r="H357" s="34"/>
      <c r="I357" s="38" t="str">
        <f t="shared" si="209"/>
        <v>Grozdje-vertikala podravska</v>
      </c>
      <c r="J357" s="17" t="str">
        <f>+J$61</f>
        <v>Kupljen material in storitve</v>
      </c>
      <c r="K357" s="18"/>
      <c r="L357" s="18"/>
      <c r="M357" s="136"/>
      <c r="N357" s="18"/>
      <c r="O357" s="159">
        <v>4481.7943336478711</v>
      </c>
      <c r="P357" s="18"/>
      <c r="Q357" s="159">
        <v>5064.9467087818848</v>
      </c>
      <c r="R357" s="159">
        <v>4805.8198505635401</v>
      </c>
      <c r="S357" s="159">
        <v>4481.7943336478711</v>
      </c>
      <c r="T357" s="159">
        <v>4303.1511670213022</v>
      </c>
      <c r="U357" s="159">
        <v>5002.1962345003612</v>
      </c>
      <c r="V357" s="159">
        <v>4839.1805794955935</v>
      </c>
      <c r="W357" s="152"/>
      <c r="X357" s="147"/>
      <c r="Y357" s="147"/>
      <c r="Z357" s="147"/>
      <c r="AA357" s="147"/>
      <c r="AB357" s="147"/>
      <c r="AD357" s="166"/>
      <c r="AE357" s="166"/>
      <c r="AF357" s="166"/>
      <c r="AG357" s="166"/>
      <c r="AH357" s="166"/>
      <c r="AI357" s="166"/>
      <c r="AJ357" s="166"/>
      <c r="AK357" s="166"/>
      <c r="AL357" s="166"/>
      <c r="AM357" s="166"/>
      <c r="AN357" s="166"/>
      <c r="AO357" s="166"/>
    </row>
    <row r="358" spans="1:41" s="38" customFormat="1">
      <c r="A358" s="49" t="s">
        <v>5</v>
      </c>
      <c r="B358" s="49"/>
      <c r="C358" s="49"/>
      <c r="D358" s="49"/>
      <c r="E358" s="49"/>
      <c r="F358" s="18"/>
      <c r="G358" s="115"/>
      <c r="H358" s="34"/>
      <c r="I358" s="38" t="str">
        <f t="shared" si="209"/>
        <v>Grozdje-vertikala podravska</v>
      </c>
      <c r="J358" s="17" t="str">
        <f>+J$62</f>
        <v>Stroški skupaj</v>
      </c>
      <c r="K358" s="18" t="str">
        <f>+K$62</f>
        <v>EUR/ha</v>
      </c>
      <c r="L358" s="43"/>
      <c r="M358" s="214"/>
      <c r="N358" s="42"/>
      <c r="O358" s="159">
        <v>12752.507777640118</v>
      </c>
      <c r="P358" s="42"/>
      <c r="Q358" s="159">
        <v>13740.397703287619</v>
      </c>
      <c r="R358" s="159">
        <v>13280.920927497893</v>
      </c>
      <c r="S358" s="159">
        <v>12752.507777640118</v>
      </c>
      <c r="T358" s="159">
        <v>12472.638577775881</v>
      </c>
      <c r="U358" s="159">
        <v>14229.338731134332</v>
      </c>
      <c r="V358" s="159">
        <v>13950.591548021453</v>
      </c>
      <c r="W358" s="156"/>
      <c r="X358" s="147"/>
      <c r="Y358" s="147"/>
      <c r="Z358" s="147">
        <f>R358/$Q358*100</f>
        <v>96.656015453760929</v>
      </c>
      <c r="AA358" s="147">
        <f>S358/$Q358*100</f>
        <v>92.810325094075466</v>
      </c>
      <c r="AB358" s="147"/>
      <c r="AD358" s="166"/>
      <c r="AE358" s="166"/>
      <c r="AF358" s="166"/>
      <c r="AG358" s="166"/>
      <c r="AH358" s="166"/>
      <c r="AI358" s="166"/>
      <c r="AJ358" s="166"/>
      <c r="AK358" s="166"/>
      <c r="AL358" s="166"/>
      <c r="AM358" s="166"/>
      <c r="AN358" s="166"/>
      <c r="AO358" s="166"/>
    </row>
    <row r="359" spans="1:41" s="38" customFormat="1">
      <c r="A359" s="49" t="s">
        <v>4</v>
      </c>
      <c r="B359" s="49"/>
      <c r="C359" s="49"/>
      <c r="D359" s="49"/>
      <c r="E359" s="49"/>
      <c r="F359" s="18"/>
      <c r="G359" s="115"/>
      <c r="H359" s="34"/>
      <c r="I359" s="38" t="str">
        <f t="shared" si="209"/>
        <v>Grozdje-vertikala podravska</v>
      </c>
      <c r="J359" s="17" t="str">
        <f>+J$63</f>
        <v>Stranski pridelki</v>
      </c>
      <c r="K359" s="18" t="str">
        <f>+K$63</f>
        <v>EUR/ha</v>
      </c>
      <c r="L359" s="43"/>
      <c r="M359" s="214"/>
      <c r="N359" s="43"/>
      <c r="O359" s="159">
        <v>0</v>
      </c>
      <c r="P359" s="43"/>
      <c r="Q359" s="159">
        <v>0</v>
      </c>
      <c r="R359" s="159">
        <v>0</v>
      </c>
      <c r="S359" s="159">
        <v>0</v>
      </c>
      <c r="T359" s="159">
        <v>0</v>
      </c>
      <c r="U359" s="159">
        <v>0</v>
      </c>
      <c r="V359" s="159">
        <v>0</v>
      </c>
      <c r="W359" s="201"/>
      <c r="X359" s="147"/>
      <c r="Y359" s="147"/>
      <c r="Z359" s="147"/>
      <c r="AA359" s="147"/>
      <c r="AB359" s="147"/>
      <c r="AD359" s="166"/>
      <c r="AE359" s="166"/>
      <c r="AF359" s="166"/>
      <c r="AG359" s="166"/>
      <c r="AH359" s="166"/>
      <c r="AI359" s="166"/>
      <c r="AJ359" s="166"/>
      <c r="AK359" s="166"/>
      <c r="AL359" s="166"/>
      <c r="AM359" s="166"/>
      <c r="AN359" s="166"/>
      <c r="AO359" s="166"/>
    </row>
    <row r="360" spans="1:41" s="38" customFormat="1">
      <c r="A360" s="49"/>
      <c r="B360" s="49"/>
      <c r="C360" s="49"/>
      <c r="D360" s="49"/>
      <c r="E360" s="49"/>
      <c r="F360" s="18"/>
      <c r="G360" s="115"/>
      <c r="H360" s="34"/>
      <c r="I360" s="38" t="str">
        <f t="shared" si="209"/>
        <v>Grozdje-vertikala podravska</v>
      </c>
      <c r="J360" s="17" t="str">
        <f>+J$64</f>
        <v>Stroški glavnega pridelka</v>
      </c>
      <c r="K360" s="18" t="str">
        <f>+K$64</f>
        <v>EUR/ha</v>
      </c>
      <c r="L360" s="215"/>
      <c r="M360" s="214"/>
      <c r="N360" s="215"/>
      <c r="O360" s="169">
        <f>+O358-O359</f>
        <v>12752.507777640118</v>
      </c>
      <c r="P360" s="43"/>
      <c r="Q360" s="169">
        <f t="shared" ref="Q360:T360" si="213">+Q358-Q359</f>
        <v>13740.397703287619</v>
      </c>
      <c r="R360" s="169">
        <f t="shared" si="213"/>
        <v>13280.920927497893</v>
      </c>
      <c r="S360" s="169">
        <f t="shared" si="213"/>
        <v>12752.507777640118</v>
      </c>
      <c r="T360" s="169">
        <f t="shared" si="213"/>
        <v>12472.638577775881</v>
      </c>
      <c r="U360" s="169">
        <f t="shared" ref="U360" si="214">+U358-U359</f>
        <v>14229.338731134332</v>
      </c>
      <c r="V360" s="169">
        <f t="shared" ref="V360" si="215">+V358-V359</f>
        <v>13950.591548021453</v>
      </c>
      <c r="W360" s="32"/>
      <c r="X360" s="147"/>
      <c r="Y360" s="147"/>
      <c r="Z360" s="147">
        <f t="shared" ref="Z360:AA363" si="216">R360/$Q360*100</f>
        <v>96.656015453760929</v>
      </c>
      <c r="AA360" s="147">
        <f t="shared" si="216"/>
        <v>92.810325094075466</v>
      </c>
      <c r="AB360" s="147"/>
      <c r="AD360" s="166"/>
      <c r="AE360" s="166"/>
      <c r="AF360" s="166"/>
      <c r="AG360" s="166"/>
      <c r="AH360" s="166"/>
      <c r="AI360" s="166"/>
      <c r="AJ360" s="166"/>
      <c r="AK360" s="166"/>
      <c r="AL360" s="166"/>
      <c r="AM360" s="166"/>
      <c r="AN360" s="166"/>
      <c r="AO360" s="166"/>
    </row>
    <row r="361" spans="1:41" s="38" customFormat="1">
      <c r="A361" s="49" t="s">
        <v>3</v>
      </c>
      <c r="B361" s="49" t="s">
        <v>0</v>
      </c>
      <c r="C361" s="49" t="s">
        <v>2</v>
      </c>
      <c r="D361" s="49" t="s">
        <v>1</v>
      </c>
      <c r="E361" s="49" t="s">
        <v>0</v>
      </c>
      <c r="F361" s="18"/>
      <c r="G361" s="115"/>
      <c r="H361" s="34"/>
      <c r="I361" s="38" t="str">
        <f t="shared" si="209"/>
        <v>Grozdje-vertikala podravska</v>
      </c>
      <c r="J361" s="17" t="str">
        <f>+J$65</f>
        <v>Subvencije</v>
      </c>
      <c r="K361" s="18" t="str">
        <f>+K$65</f>
        <v>EUR/ha</v>
      </c>
      <c r="L361" s="43"/>
      <c r="M361" s="214"/>
      <c r="N361" s="43"/>
      <c r="O361" s="159">
        <v>23.94</v>
      </c>
      <c r="P361" s="43"/>
      <c r="Q361" s="159">
        <v>23.94</v>
      </c>
      <c r="R361" s="159">
        <v>23.94</v>
      </c>
      <c r="S361" s="159">
        <v>23.94</v>
      </c>
      <c r="T361" s="159">
        <v>23.94</v>
      </c>
      <c r="U361" s="159">
        <v>23.94</v>
      </c>
      <c r="V361" s="159">
        <v>23.94</v>
      </c>
      <c r="W361" s="32"/>
      <c r="X361" s="147"/>
      <c r="Y361" s="147"/>
      <c r="Z361" s="147">
        <f t="shared" si="216"/>
        <v>100</v>
      </c>
      <c r="AA361" s="147">
        <f t="shared" si="216"/>
        <v>100</v>
      </c>
      <c r="AB361" s="147"/>
      <c r="AD361" s="166"/>
      <c r="AE361" s="166"/>
      <c r="AF361" s="166"/>
      <c r="AG361" s="166"/>
      <c r="AH361" s="166"/>
      <c r="AI361" s="166"/>
      <c r="AJ361" s="166"/>
      <c r="AK361" s="166"/>
      <c r="AL361" s="166"/>
      <c r="AM361" s="166"/>
      <c r="AN361" s="166"/>
      <c r="AO361" s="166"/>
    </row>
    <row r="362" spans="1:41" s="38" customFormat="1">
      <c r="A362" s="49"/>
      <c r="B362" s="49"/>
      <c r="C362" s="49" t="s">
        <v>6</v>
      </c>
      <c r="D362" s="49"/>
      <c r="E362" s="49"/>
      <c r="F362" s="18"/>
      <c r="G362" s="115"/>
      <c r="H362" s="34"/>
      <c r="I362" s="38" t="str">
        <f t="shared" si="209"/>
        <v>Grozdje-vertikala podravska</v>
      </c>
      <c r="J362" s="17" t="str">
        <f>+J$66</f>
        <v>Stroški, zmanjšani za subvencije</v>
      </c>
      <c r="K362" s="18" t="str">
        <f>+K$66</f>
        <v>EUR/ha</v>
      </c>
      <c r="L362" s="215"/>
      <c r="M362" s="214"/>
      <c r="N362" s="215"/>
      <c r="O362" s="171">
        <f>+O360-O361</f>
        <v>12728.567777640117</v>
      </c>
      <c r="P362" s="43"/>
      <c r="Q362" s="171">
        <f t="shared" ref="Q362:T362" si="217">+Q360-Q361</f>
        <v>13716.457703287619</v>
      </c>
      <c r="R362" s="171">
        <f t="shared" si="217"/>
        <v>13256.980927497892</v>
      </c>
      <c r="S362" s="171">
        <f t="shared" si="217"/>
        <v>12728.567777640117</v>
      </c>
      <c r="T362" s="171">
        <f t="shared" si="217"/>
        <v>12448.69857777588</v>
      </c>
      <c r="U362" s="171">
        <f t="shared" ref="U362" si="218">+U360-U361</f>
        <v>14205.398731134332</v>
      </c>
      <c r="V362" s="171">
        <f t="shared" ref="V362" si="219">+V360-V361</f>
        <v>13926.651548021453</v>
      </c>
      <c r="W362" s="32"/>
      <c r="X362" s="147"/>
      <c r="Y362" s="147"/>
      <c r="Z362" s="147">
        <f t="shared" si="216"/>
        <v>96.650179035075539</v>
      </c>
      <c r="AA362" s="147">
        <f t="shared" si="216"/>
        <v>92.797776605174676</v>
      </c>
      <c r="AB362" s="147"/>
      <c r="AD362" s="166"/>
      <c r="AE362" s="166"/>
      <c r="AF362" s="166"/>
      <c r="AG362" s="166"/>
      <c r="AH362" s="166"/>
      <c r="AI362" s="166"/>
      <c r="AJ362" s="166"/>
      <c r="AK362" s="166"/>
      <c r="AL362" s="166"/>
      <c r="AM362" s="166"/>
      <c r="AN362" s="166"/>
      <c r="AO362" s="166"/>
    </row>
    <row r="363" spans="1:41" s="38" customFormat="1">
      <c r="A363" s="49"/>
      <c r="B363" s="49"/>
      <c r="C363" s="49"/>
      <c r="D363" s="49"/>
      <c r="E363" s="49"/>
      <c r="F363" s="18"/>
      <c r="G363" s="115"/>
      <c r="H363" s="34"/>
      <c r="I363" s="38" t="str">
        <f t="shared" si="209"/>
        <v>Grozdje-vertikala podravska</v>
      </c>
      <c r="J363" s="17" t="str">
        <f>+J$67</f>
        <v>Stroški, zmanjšani za subvencije/kg</v>
      </c>
      <c r="K363" s="18" t="str">
        <f>+K$67</f>
        <v>EUR/kg</v>
      </c>
      <c r="L363" s="216"/>
      <c r="M363" s="217"/>
      <c r="N363" s="215"/>
      <c r="O363" s="177">
        <f>+O362/O354</f>
        <v>1.5910709722050147</v>
      </c>
      <c r="P363" s="218"/>
      <c r="Q363" s="177">
        <f t="shared" ref="Q363:T363" si="220">+Q362/Q354</f>
        <v>1.1430381419406348</v>
      </c>
      <c r="R363" s="177">
        <f t="shared" si="220"/>
        <v>1.3256980927497892</v>
      </c>
      <c r="S363" s="177">
        <f t="shared" si="220"/>
        <v>1.5910709722050147</v>
      </c>
      <c r="T363" s="177">
        <f t="shared" si="220"/>
        <v>1.77838551111084</v>
      </c>
      <c r="U363" s="177">
        <f t="shared" ref="U363" si="221">+U362/U354</f>
        <v>1.4030023438157364</v>
      </c>
      <c r="V363" s="177">
        <f t="shared" ref="V363" si="222">+V362/V354</f>
        <v>1.5474057275579391</v>
      </c>
      <c r="W363" s="32"/>
      <c r="X363" s="147"/>
      <c r="Y363" s="147"/>
      <c r="Z363" s="147">
        <f t="shared" si="216"/>
        <v>115.98021484209065</v>
      </c>
      <c r="AA363" s="147">
        <f t="shared" si="216"/>
        <v>139.19666490776203</v>
      </c>
      <c r="AB363" s="147"/>
      <c r="AD363" s="166"/>
      <c r="AE363" s="166"/>
      <c r="AF363" s="166"/>
      <c r="AG363" s="166"/>
      <c r="AH363" s="166"/>
      <c r="AI363" s="166"/>
      <c r="AJ363" s="166"/>
      <c r="AK363" s="166"/>
      <c r="AL363" s="166"/>
      <c r="AM363" s="166"/>
      <c r="AN363" s="166"/>
      <c r="AO363" s="166"/>
    </row>
    <row r="364" spans="1:41" s="38" customFormat="1">
      <c r="A364" s="49" t="s">
        <v>136</v>
      </c>
      <c r="B364" s="49"/>
      <c r="C364" s="49"/>
      <c r="D364" s="49"/>
      <c r="E364" s="49"/>
      <c r="F364" s="18"/>
      <c r="G364" s="115"/>
      <c r="H364" s="34"/>
      <c r="J364" s="17" t="str">
        <f t="shared" ref="J364" si="223">+J327</f>
        <v>davek_a</v>
      </c>
      <c r="K364" s="18"/>
      <c r="L364" s="43"/>
      <c r="M364" s="214"/>
      <c r="N364" s="43"/>
      <c r="O364" s="35">
        <v>0</v>
      </c>
      <c r="P364" s="43"/>
      <c r="Q364" s="35">
        <v>0</v>
      </c>
      <c r="R364" s="35">
        <v>0</v>
      </c>
      <c r="S364" s="35">
        <v>0</v>
      </c>
      <c r="T364" s="35">
        <v>0</v>
      </c>
      <c r="U364" s="35">
        <v>0</v>
      </c>
      <c r="V364" s="35">
        <v>0</v>
      </c>
      <c r="W364" s="222"/>
      <c r="X364" s="147"/>
      <c r="Y364" s="147"/>
      <c r="Z364" s="147"/>
      <c r="AA364" s="147"/>
      <c r="AB364" s="147"/>
      <c r="AD364" s="166"/>
      <c r="AE364" s="166"/>
      <c r="AF364" s="166"/>
      <c r="AG364" s="166"/>
      <c r="AH364" s="166"/>
      <c r="AI364" s="166"/>
      <c r="AJ364" s="166"/>
      <c r="AK364" s="166"/>
      <c r="AL364" s="166"/>
      <c r="AM364" s="166"/>
      <c r="AN364" s="166"/>
      <c r="AO364" s="166"/>
    </row>
    <row r="365" spans="1:41" s="38" customFormat="1">
      <c r="A365" s="18" t="s">
        <v>92</v>
      </c>
      <c r="B365" s="49"/>
      <c r="C365" s="49"/>
      <c r="D365" s="49"/>
      <c r="E365" s="49"/>
      <c r="F365" s="18"/>
      <c r="G365" s="115"/>
      <c r="H365" s="34"/>
      <c r="J365" s="17" t="str">
        <f t="shared" ref="J365:J370" si="224">+A365</f>
        <v>Pokoj obvezno</v>
      </c>
      <c r="K365" s="18"/>
      <c r="L365" s="43"/>
      <c r="M365" s="214"/>
      <c r="N365" s="43"/>
      <c r="O365" s="35">
        <v>449.85227126530538</v>
      </c>
      <c r="P365" s="43"/>
      <c r="Q365" s="35">
        <v>480.11598740767249</v>
      </c>
      <c r="R365" s="35">
        <v>465.09120190144324</v>
      </c>
      <c r="S365" s="35">
        <v>449.85227126530538</v>
      </c>
      <c r="T365" s="35">
        <v>442.30971169056693</v>
      </c>
      <c r="U365" s="35">
        <v>514.23636301960096</v>
      </c>
      <c r="V365" s="35">
        <v>505.59886120688157</v>
      </c>
      <c r="W365" s="32"/>
      <c r="X365" s="147"/>
      <c r="Y365" s="147"/>
      <c r="Z365" s="147"/>
      <c r="AA365" s="147"/>
      <c r="AB365" s="147"/>
      <c r="AD365" s="166"/>
      <c r="AE365" s="166"/>
      <c r="AF365" s="166"/>
      <c r="AG365" s="166"/>
      <c r="AH365" s="166"/>
      <c r="AI365" s="166"/>
      <c r="AJ365" s="166"/>
      <c r="AK365" s="166"/>
      <c r="AL365" s="166"/>
      <c r="AM365" s="166"/>
      <c r="AN365" s="166"/>
      <c r="AO365" s="166"/>
    </row>
    <row r="366" spans="1:41" s="38" customFormat="1">
      <c r="A366" s="18" t="s">
        <v>91</v>
      </c>
      <c r="B366" s="49"/>
      <c r="C366" s="49"/>
      <c r="D366" s="49"/>
      <c r="E366" s="49"/>
      <c r="F366" s="18"/>
      <c r="G366" s="115"/>
      <c r="H366" s="34"/>
      <c r="J366" s="17" t="str">
        <f t="shared" si="224"/>
        <v>Zdrav obvezno</v>
      </c>
      <c r="K366" s="18"/>
      <c r="L366" s="42"/>
      <c r="M366" s="219"/>
      <c r="N366" s="42"/>
      <c r="O366" s="35">
        <v>263.81659005171775</v>
      </c>
      <c r="P366" s="42"/>
      <c r="Q366" s="35">
        <v>281.5647951958544</v>
      </c>
      <c r="R366" s="35">
        <v>272.75348550220127</v>
      </c>
      <c r="S366" s="35">
        <v>263.81659005171775</v>
      </c>
      <c r="T366" s="35">
        <v>259.39324382369369</v>
      </c>
      <c r="U366" s="35">
        <v>301.57474450633373</v>
      </c>
      <c r="V366" s="35">
        <v>296.5092676368098</v>
      </c>
      <c r="W366" s="32"/>
      <c r="X366" s="147"/>
      <c r="Y366" s="147"/>
      <c r="Z366" s="147"/>
      <c r="AA366" s="147"/>
      <c r="AB366" s="147"/>
      <c r="AD366" s="166"/>
      <c r="AE366" s="166"/>
      <c r="AF366" s="166"/>
      <c r="AG366" s="166"/>
      <c r="AH366" s="166"/>
      <c r="AI366" s="166"/>
      <c r="AJ366" s="166"/>
      <c r="AK366" s="166"/>
      <c r="AL366" s="166"/>
      <c r="AM366" s="166"/>
      <c r="AN366" s="166"/>
      <c r="AO366" s="166"/>
    </row>
    <row r="367" spans="1:41" s="38" customFormat="1">
      <c r="A367" s="18" t="s">
        <v>90</v>
      </c>
      <c r="B367" s="49"/>
      <c r="C367" s="49"/>
      <c r="D367" s="49"/>
      <c r="E367" s="49"/>
      <c r="F367" s="18"/>
      <c r="G367" s="115"/>
      <c r="H367" s="34"/>
      <c r="J367" s="17" t="str">
        <f t="shared" si="224"/>
        <v>Pokoj dodatno</v>
      </c>
      <c r="K367" s="18"/>
      <c r="L367" s="43"/>
      <c r="M367" s="214"/>
      <c r="N367" s="43"/>
      <c r="O367" s="35">
        <v>359.15218620587632</v>
      </c>
      <c r="P367" s="43"/>
      <c r="Q367" s="35">
        <v>383.31407336201551</v>
      </c>
      <c r="R367" s="35">
        <v>371.31861417124907</v>
      </c>
      <c r="S367" s="35">
        <v>359.15218620587632</v>
      </c>
      <c r="T367" s="35">
        <v>353.13037208179514</v>
      </c>
      <c r="U367" s="35">
        <v>410.55503284571807</v>
      </c>
      <c r="V367" s="35">
        <v>403.65904085557014</v>
      </c>
      <c r="W367" s="201"/>
      <c r="X367" s="147"/>
      <c r="Y367" s="147"/>
      <c r="Z367" s="147"/>
      <c r="AA367" s="147"/>
      <c r="AB367" s="147"/>
      <c r="AD367" s="166"/>
      <c r="AE367" s="166"/>
      <c r="AF367" s="166"/>
      <c r="AG367" s="166"/>
      <c r="AH367" s="166"/>
      <c r="AI367" s="166"/>
      <c r="AJ367" s="166"/>
      <c r="AK367" s="166"/>
      <c r="AL367" s="166"/>
      <c r="AM367" s="166"/>
      <c r="AN367" s="166"/>
      <c r="AO367" s="166"/>
    </row>
    <row r="368" spans="1:41" s="38" customFormat="1">
      <c r="A368" s="18" t="s">
        <v>89</v>
      </c>
      <c r="B368" s="49"/>
      <c r="C368" s="49"/>
      <c r="D368" s="49"/>
      <c r="E368" s="49"/>
      <c r="F368" s="18"/>
      <c r="G368" s="115"/>
      <c r="H368" s="34"/>
      <c r="J368" s="17" t="str">
        <f t="shared" si="224"/>
        <v>Zdrav dodatno</v>
      </c>
      <c r="K368" s="18"/>
      <c r="L368" s="42"/>
      <c r="M368" s="219"/>
      <c r="N368" s="42"/>
      <c r="O368" s="35">
        <v>210.62537887815574</v>
      </c>
      <c r="P368" s="42"/>
      <c r="Q368" s="35">
        <v>224.79515657165933</v>
      </c>
      <c r="R368" s="35">
        <v>217.76040018171955</v>
      </c>
      <c r="S368" s="35">
        <v>210.62537887815574</v>
      </c>
      <c r="T368" s="35">
        <v>207.09387627248498</v>
      </c>
      <c r="U368" s="35">
        <v>240.77066119790808</v>
      </c>
      <c r="V368" s="35">
        <v>236.72649557271816</v>
      </c>
      <c r="W368" s="32"/>
      <c r="X368" s="147"/>
      <c r="Y368" s="147"/>
      <c r="Z368" s="147"/>
      <c r="AA368" s="147"/>
      <c r="AB368" s="147"/>
      <c r="AD368" s="166"/>
      <c r="AE368" s="166"/>
      <c r="AF368" s="166"/>
      <c r="AG368" s="166"/>
      <c r="AH368" s="166"/>
      <c r="AI368" s="166"/>
      <c r="AJ368" s="166"/>
      <c r="AK368" s="166"/>
      <c r="AL368" s="166"/>
      <c r="AM368" s="166"/>
      <c r="AN368" s="166"/>
      <c r="AO368" s="166"/>
    </row>
    <row r="369" spans="1:42" s="38" customFormat="1">
      <c r="A369" s="18" t="s">
        <v>88</v>
      </c>
      <c r="B369" s="49"/>
      <c r="C369" s="49"/>
      <c r="D369" s="49"/>
      <c r="E369" s="49"/>
      <c r="F369" s="18"/>
      <c r="G369" s="115"/>
      <c r="H369" s="34"/>
      <c r="J369" s="17" t="str">
        <f t="shared" si="224"/>
        <v>Regresi</v>
      </c>
      <c r="K369" s="18"/>
      <c r="L369" s="43"/>
      <c r="M369" s="214"/>
      <c r="N369" s="43"/>
      <c r="O369" s="35">
        <v>1079.4327509878412</v>
      </c>
      <c r="P369" s="43"/>
      <c r="Q369" s="35">
        <v>1152.0513603788438</v>
      </c>
      <c r="R369" s="35">
        <v>1115.9989792129693</v>
      </c>
      <c r="S369" s="35">
        <v>1079.4327509878412</v>
      </c>
      <c r="T369" s="35">
        <v>1061.3341742965436</v>
      </c>
      <c r="U369" s="35">
        <v>1233.9241289833647</v>
      </c>
      <c r="V369" s="35">
        <v>1213.198208633687</v>
      </c>
      <c r="W369" s="201"/>
      <c r="X369" s="147"/>
      <c r="Y369" s="147"/>
      <c r="Z369" s="147"/>
      <c r="AA369" s="147"/>
      <c r="AB369" s="147"/>
      <c r="AD369" s="166"/>
      <c r="AE369" s="166"/>
      <c r="AF369" s="166"/>
      <c r="AG369" s="166"/>
      <c r="AH369" s="166"/>
      <c r="AI369" s="166"/>
      <c r="AJ369" s="166"/>
      <c r="AK369" s="166"/>
      <c r="AL369" s="166"/>
      <c r="AM369" s="166"/>
      <c r="AN369" s="166"/>
      <c r="AO369" s="166"/>
    </row>
    <row r="370" spans="1:42" s="38" customFormat="1">
      <c r="A370" s="49" t="s">
        <v>13</v>
      </c>
      <c r="B370" s="49"/>
      <c r="C370" s="49"/>
      <c r="D370" s="49"/>
      <c r="E370" s="49"/>
      <c r="F370" s="18"/>
      <c r="G370" s="115"/>
      <c r="H370" s="34"/>
      <c r="J370" s="17" t="str">
        <f t="shared" si="224"/>
        <v>SUM element</v>
      </c>
      <c r="K370" s="18"/>
      <c r="L370" s="62"/>
      <c r="M370" s="167"/>
      <c r="N370" s="62"/>
      <c r="O370" s="159">
        <v>12752.507777640118</v>
      </c>
      <c r="P370" s="170"/>
      <c r="Q370" s="159">
        <v>13740.397703287619</v>
      </c>
      <c r="R370" s="159">
        <v>13280.920927497897</v>
      </c>
      <c r="S370" s="159">
        <v>12752.507777640118</v>
      </c>
      <c r="T370" s="159">
        <v>12472.638577775879</v>
      </c>
      <c r="U370" s="159">
        <v>14229.338731134332</v>
      </c>
      <c r="V370" s="159">
        <v>13950.591548021453</v>
      </c>
      <c r="W370" s="201"/>
      <c r="X370" s="147"/>
      <c r="Y370" s="149" t="s">
        <v>177</v>
      </c>
      <c r="Z370" s="149" t="s">
        <v>99</v>
      </c>
      <c r="AA370" s="147"/>
      <c r="AB370" s="147"/>
      <c r="AD370" s="166"/>
      <c r="AE370" s="166"/>
      <c r="AF370" s="166"/>
      <c r="AG370" s="166"/>
      <c r="AH370" s="166"/>
      <c r="AI370" s="166"/>
      <c r="AJ370" s="166"/>
      <c r="AK370" s="166"/>
      <c r="AL370" s="166"/>
      <c r="AM370" s="166"/>
      <c r="AN370" s="166"/>
      <c r="AO370" s="166"/>
    </row>
    <row r="371" spans="1:42" s="38" customFormat="1">
      <c r="A371" s="49" t="s">
        <v>3</v>
      </c>
      <c r="B371" s="49" t="s">
        <v>0</v>
      </c>
      <c r="C371" s="49" t="s">
        <v>2</v>
      </c>
      <c r="D371" s="49" t="s">
        <v>1</v>
      </c>
      <c r="E371" s="49" t="s">
        <v>0</v>
      </c>
      <c r="F371" s="18"/>
      <c r="G371" s="18"/>
      <c r="H371" s="34"/>
      <c r="J371" s="106" t="str">
        <f t="shared" ref="J371" si="225">+J334</f>
        <v>Subvencije</v>
      </c>
      <c r="K371" s="18"/>
      <c r="L371" s="62"/>
      <c r="M371" s="167"/>
      <c r="N371" s="62"/>
      <c r="O371" s="183">
        <v>23.94</v>
      </c>
      <c r="P371" s="210"/>
      <c r="Q371" s="183">
        <v>23.94</v>
      </c>
      <c r="R371" s="183">
        <v>23.94</v>
      </c>
      <c r="S371" s="183">
        <v>23.94</v>
      </c>
      <c r="T371" s="183">
        <v>23.94</v>
      </c>
      <c r="U371" s="183">
        <v>23.94</v>
      </c>
      <c r="V371" s="159">
        <v>23.94</v>
      </c>
      <c r="W371" s="201"/>
      <c r="X371" s="147"/>
      <c r="Y371" s="147"/>
      <c r="Z371" s="147"/>
      <c r="AA371" s="147"/>
      <c r="AB371" s="147"/>
      <c r="AD371" s="166"/>
      <c r="AE371" s="166"/>
      <c r="AF371" s="166"/>
      <c r="AG371" s="166"/>
      <c r="AH371" s="166"/>
      <c r="AI371" s="166"/>
      <c r="AJ371" s="166"/>
      <c r="AK371" s="166"/>
      <c r="AL371" s="166"/>
      <c r="AM371" s="166"/>
      <c r="AN371" s="166"/>
      <c r="AO371" s="166"/>
    </row>
    <row r="372" spans="1:42" s="38" customFormat="1" ht="39" customHeight="1">
      <c r="A372" s="112" t="s">
        <v>14</v>
      </c>
      <c r="B372" s="49"/>
      <c r="C372" s="49"/>
      <c r="D372" s="49"/>
      <c r="E372" s="49"/>
      <c r="F372" s="18"/>
      <c r="G372" s="18"/>
      <c r="H372" s="34"/>
      <c r="J372" s="198" t="str">
        <f>+J335</f>
        <v>Vrednost pridelave_tržna</v>
      </c>
      <c r="K372" s="18"/>
      <c r="L372" s="62"/>
      <c r="M372" s="167"/>
      <c r="N372" s="62"/>
      <c r="O372" s="183">
        <v>6636.0000000000009</v>
      </c>
      <c r="P372" s="210"/>
      <c r="Q372" s="183">
        <v>9954.0000000000018</v>
      </c>
      <c r="R372" s="183">
        <v>8295.0000000000018</v>
      </c>
      <c r="S372" s="183">
        <v>6636.0000000000009</v>
      </c>
      <c r="T372" s="183">
        <v>5806.5000000000009</v>
      </c>
      <c r="U372" s="183">
        <v>8398.6875000000018</v>
      </c>
      <c r="V372" s="209">
        <v>7465.5000000000009</v>
      </c>
      <c r="W372" s="201"/>
      <c r="X372" s="147"/>
      <c r="Y372" s="147"/>
      <c r="Z372" s="147"/>
      <c r="AA372" s="147"/>
      <c r="AB372" s="147"/>
      <c r="AD372" s="166"/>
      <c r="AE372" s="166"/>
      <c r="AF372" s="166"/>
      <c r="AG372" s="166"/>
      <c r="AH372" s="166"/>
      <c r="AI372" s="166"/>
      <c r="AJ372" s="166"/>
      <c r="AK372" s="166"/>
      <c r="AL372" s="166"/>
      <c r="AM372" s="166"/>
      <c r="AN372" s="166"/>
      <c r="AO372" s="166"/>
    </row>
    <row r="373" spans="1:42" s="38" customFormat="1">
      <c r="A373" s="49"/>
      <c r="B373" s="49"/>
      <c r="C373" s="49"/>
      <c r="D373" s="49"/>
      <c r="E373" s="49"/>
      <c r="F373" s="18"/>
      <c r="G373" s="51"/>
      <c r="H373" s="34"/>
      <c r="J373" s="21"/>
      <c r="K373" s="46"/>
      <c r="L373" s="185"/>
      <c r="M373" s="186"/>
      <c r="N373" s="179"/>
      <c r="O373" s="187">
        <f>+O358-O371-O359</f>
        <v>12728.567777640117</v>
      </c>
      <c r="P373" s="62" t="s">
        <v>87</v>
      </c>
      <c r="Q373" s="187">
        <f t="shared" ref="Q373:T373" si="226">+Q358-Q371-Q359</f>
        <v>13716.457703287619</v>
      </c>
      <c r="R373" s="187">
        <f t="shared" si="226"/>
        <v>13256.980927497892</v>
      </c>
      <c r="S373" s="187">
        <f t="shared" si="226"/>
        <v>12728.567777640117</v>
      </c>
      <c r="T373" s="187">
        <f t="shared" si="226"/>
        <v>12448.69857777588</v>
      </c>
      <c r="U373" s="187">
        <f t="shared" ref="U373:V373" si="227">+U358-U371-U359</f>
        <v>14205.398731134332</v>
      </c>
      <c r="V373" s="187">
        <f t="shared" si="227"/>
        <v>13926.651548021453</v>
      </c>
      <c r="W373" s="201"/>
      <c r="X373" s="147"/>
      <c r="Y373" s="147"/>
      <c r="Z373" s="147"/>
      <c r="AA373" s="147"/>
      <c r="AB373" s="208"/>
      <c r="AD373" s="166"/>
      <c r="AE373" s="166"/>
      <c r="AF373" s="166"/>
      <c r="AG373" s="166"/>
      <c r="AH373" s="166"/>
      <c r="AI373" s="166"/>
      <c r="AJ373" s="166"/>
      <c r="AK373" s="166"/>
      <c r="AL373" s="166"/>
      <c r="AM373" s="166"/>
      <c r="AN373" s="166"/>
      <c r="AO373" s="166"/>
      <c r="AP373" s="21"/>
    </row>
    <row r="374" spans="1:42" s="38" customFormat="1">
      <c r="A374" s="49"/>
      <c r="B374" s="49"/>
      <c r="C374" s="49"/>
      <c r="D374" s="49"/>
      <c r="E374" s="49"/>
      <c r="F374" s="18"/>
      <c r="G374" s="46"/>
      <c r="H374" s="34"/>
      <c r="J374" s="21"/>
      <c r="K374" s="46"/>
      <c r="L374" s="185"/>
      <c r="M374" s="186"/>
      <c r="N374" s="179"/>
      <c r="O374" s="187">
        <f>O373-O365-O366</f>
        <v>12014.898916323094</v>
      </c>
      <c r="P374" s="62" t="s">
        <v>86</v>
      </c>
      <c r="Q374" s="187">
        <f t="shared" ref="Q374:T374" si="228">Q373-Q365-Q366</f>
        <v>12954.776920684091</v>
      </c>
      <c r="R374" s="187">
        <f t="shared" si="228"/>
        <v>12519.136240094249</v>
      </c>
      <c r="S374" s="187">
        <f t="shared" si="228"/>
        <v>12014.898916323094</v>
      </c>
      <c r="T374" s="187">
        <f t="shared" si="228"/>
        <v>11746.99562226162</v>
      </c>
      <c r="U374" s="187">
        <f t="shared" ref="U374" si="229">U373-U365-U366</f>
        <v>13389.587623608397</v>
      </c>
      <c r="V374" s="187">
        <f t="shared" ref="V374" si="230">V373-V365-V366</f>
        <v>13124.543419177762</v>
      </c>
      <c r="W374" s="211"/>
      <c r="X374" s="179"/>
      <c r="Y374" s="179"/>
      <c r="Z374" s="179"/>
      <c r="AA374" s="179"/>
      <c r="AB374" s="208"/>
      <c r="AD374" s="166"/>
      <c r="AE374" s="166"/>
      <c r="AF374" s="166"/>
      <c r="AG374" s="166"/>
      <c r="AH374" s="166"/>
      <c r="AI374" s="166"/>
      <c r="AJ374" s="166"/>
      <c r="AK374" s="166"/>
      <c r="AL374" s="166"/>
      <c r="AM374" s="166"/>
      <c r="AN374" s="166"/>
      <c r="AO374" s="166"/>
      <c r="AP374" s="18"/>
    </row>
    <row r="375" spans="1:42" s="38" customFormat="1">
      <c r="A375" s="49"/>
      <c r="B375" s="49"/>
      <c r="C375" s="49"/>
      <c r="D375" s="49"/>
      <c r="E375" s="49"/>
      <c r="F375" s="18"/>
      <c r="G375" s="17"/>
      <c r="H375" s="34"/>
      <c r="J375" s="17"/>
      <c r="K375" s="18"/>
      <c r="L375" s="164"/>
      <c r="M375" s="165"/>
      <c r="N375" s="179"/>
      <c r="O375" s="187">
        <f>O374-O367-O368-O369</f>
        <v>10365.688600251222</v>
      </c>
      <c r="P375" s="62" t="s">
        <v>85</v>
      </c>
      <c r="Q375" s="187">
        <f t="shared" ref="Q375:T375" si="231">Q374-Q367-Q368-Q369</f>
        <v>11194.616330371573</v>
      </c>
      <c r="R375" s="187">
        <f t="shared" si="231"/>
        <v>10814.058246528311</v>
      </c>
      <c r="S375" s="187">
        <f t="shared" si="231"/>
        <v>10365.688600251222</v>
      </c>
      <c r="T375" s="187">
        <f t="shared" si="231"/>
        <v>10125.437199610795</v>
      </c>
      <c r="U375" s="187">
        <f t="shared" ref="U375" si="232">U374-U367-U368-U369</f>
        <v>11504.337800581407</v>
      </c>
      <c r="V375" s="187">
        <f t="shared" ref="V375" si="233">V374-V367-V368-V369</f>
        <v>11270.959674115787</v>
      </c>
      <c r="W375" s="211"/>
      <c r="X375" s="179"/>
      <c r="Y375" s="179"/>
      <c r="Z375" s="179"/>
      <c r="AA375" s="179"/>
      <c r="AB375" s="223"/>
      <c r="AD375" s="166"/>
      <c r="AE375" s="166"/>
      <c r="AF375" s="166"/>
      <c r="AG375" s="166"/>
      <c r="AH375" s="166"/>
      <c r="AI375" s="166"/>
      <c r="AJ375" s="166"/>
      <c r="AK375" s="166"/>
      <c r="AL375" s="166"/>
      <c r="AM375" s="166"/>
      <c r="AN375" s="166"/>
      <c r="AO375" s="166"/>
      <c r="AP375" s="18"/>
    </row>
    <row r="376" spans="1:42" s="38" customFormat="1">
      <c r="A376" s="49"/>
      <c r="B376" s="49"/>
      <c r="C376" s="49"/>
      <c r="D376" s="49"/>
      <c r="E376" s="49"/>
      <c r="F376" s="18"/>
      <c r="G376" s="18"/>
      <c r="H376" s="34"/>
      <c r="J376" s="18"/>
      <c r="K376" s="18"/>
      <c r="L376" s="62"/>
      <c r="M376" s="167"/>
      <c r="N376" s="62"/>
      <c r="O376" s="189"/>
      <c r="P376" s="184"/>
      <c r="Q376" s="189"/>
      <c r="R376" s="189"/>
      <c r="S376" s="189"/>
      <c r="T376" s="189"/>
      <c r="U376" s="189"/>
      <c r="V376" s="189"/>
      <c r="W376" s="211"/>
      <c r="X376" s="164"/>
      <c r="Y376" s="164"/>
      <c r="Z376" s="164"/>
      <c r="AA376" s="164"/>
      <c r="AB376" s="119"/>
      <c r="AD376" s="166"/>
      <c r="AE376" s="166"/>
      <c r="AF376" s="166"/>
      <c r="AG376" s="166"/>
      <c r="AH376" s="166"/>
      <c r="AI376" s="166"/>
      <c r="AJ376" s="166"/>
      <c r="AK376" s="166"/>
      <c r="AL376" s="166"/>
      <c r="AM376" s="166"/>
      <c r="AN376" s="166"/>
      <c r="AO376" s="166"/>
      <c r="AP376" s="18"/>
    </row>
    <row r="377" spans="1:42" s="38" customFormat="1">
      <c r="A377" s="49"/>
      <c r="B377" s="49"/>
      <c r="C377" s="49"/>
      <c r="D377" s="49"/>
      <c r="E377" s="49"/>
      <c r="F377" s="18"/>
      <c r="G377" s="18"/>
      <c r="H377" s="34"/>
      <c r="J377" s="17"/>
      <c r="K377" s="18"/>
      <c r="L377" s="62"/>
      <c r="M377" s="167"/>
      <c r="N377" s="62"/>
      <c r="O377" s="192" t="str">
        <f>O356&amp;";"&amp;O355</f>
        <v>4000;2</v>
      </c>
      <c r="P377" s="212"/>
      <c r="Q377" s="192" t="str">
        <f>Q356&amp;";"&amp;Q355</f>
        <v>4000;3</v>
      </c>
      <c r="R377" s="192" t="str">
        <f t="shared" ref="R377:T377" si="234">R356&amp;";"&amp;R355</f>
        <v>4000;2,5</v>
      </c>
      <c r="S377" s="192" t="str">
        <f t="shared" si="234"/>
        <v>4000;2</v>
      </c>
      <c r="T377" s="192" t="str">
        <f t="shared" si="234"/>
        <v>4000;1,75</v>
      </c>
      <c r="U377" s="192" t="str">
        <f t="shared" ref="U377:V377" si="235">U356&amp;";"&amp;U355</f>
        <v>4500;2,25</v>
      </c>
      <c r="V377" s="192" t="str">
        <f t="shared" si="235"/>
        <v>4500;2</v>
      </c>
      <c r="W377" s="32"/>
      <c r="X377" s="62"/>
      <c r="Y377" s="62"/>
      <c r="Z377" s="62"/>
      <c r="AA377" s="62"/>
      <c r="AB377" s="119"/>
      <c r="AD377" s="166"/>
      <c r="AE377" s="166"/>
      <c r="AF377" s="166"/>
      <c r="AG377" s="166"/>
      <c r="AH377" s="166"/>
      <c r="AI377" s="166"/>
      <c r="AJ377" s="166"/>
      <c r="AK377" s="166"/>
      <c r="AL377" s="166"/>
      <c r="AM377" s="166"/>
      <c r="AN377" s="166"/>
      <c r="AO377" s="166"/>
      <c r="AP377" s="18"/>
    </row>
    <row r="378" spans="1:42" s="38" customFormat="1">
      <c r="A378" s="49"/>
      <c r="B378" s="49"/>
      <c r="C378" s="49"/>
      <c r="D378" s="49"/>
      <c r="E378" s="49"/>
      <c r="F378" s="18"/>
      <c r="G378" s="18"/>
      <c r="H378" s="34"/>
      <c r="J378" s="18"/>
      <c r="K378" s="18"/>
      <c r="L378" s="62"/>
      <c r="M378" s="167"/>
      <c r="N378" s="62"/>
      <c r="O378" s="194">
        <f>+O373/O354*1000</f>
        <v>1591.0709722050146</v>
      </c>
      <c r="P378" s="180" t="s">
        <v>84</v>
      </c>
      <c r="Q378" s="194">
        <f t="shared" ref="Q378:T378" si="236">+Q373/Q354*1000</f>
        <v>1143.0381419406349</v>
      </c>
      <c r="R378" s="194">
        <f t="shared" si="236"/>
        <v>1325.6980927497893</v>
      </c>
      <c r="S378" s="194">
        <f t="shared" si="236"/>
        <v>1591.0709722050146</v>
      </c>
      <c r="T378" s="194">
        <f t="shared" si="236"/>
        <v>1778.3855111108401</v>
      </c>
      <c r="U378" s="194">
        <f t="shared" ref="U378:V378" si="237">+U373/U354*1000</f>
        <v>1403.0023438157364</v>
      </c>
      <c r="V378" s="194">
        <f t="shared" si="237"/>
        <v>1547.4057275579391</v>
      </c>
      <c r="W378" s="32"/>
      <c r="X378" s="62"/>
      <c r="Y378" s="62"/>
      <c r="Z378" s="62"/>
      <c r="AA378" s="62"/>
      <c r="AB378" s="119"/>
      <c r="AD378" s="166"/>
      <c r="AE378" s="166"/>
      <c r="AF378" s="166"/>
      <c r="AG378" s="166"/>
      <c r="AH378" s="166"/>
      <c r="AI378" s="166"/>
      <c r="AJ378" s="166"/>
      <c r="AK378" s="166"/>
      <c r="AL378" s="166"/>
      <c r="AM378" s="166"/>
      <c r="AN378" s="166"/>
      <c r="AO378" s="166"/>
      <c r="AP378" s="18"/>
    </row>
    <row r="379" spans="1:42" s="38" customFormat="1">
      <c r="A379" s="49"/>
      <c r="B379" s="49"/>
      <c r="C379" s="49"/>
      <c r="D379" s="49"/>
      <c r="E379" s="49"/>
      <c r="F379" s="18"/>
      <c r="G379" s="18"/>
      <c r="H379" s="34"/>
      <c r="J379" s="18"/>
      <c r="K379" s="18"/>
      <c r="L379" s="62"/>
      <c r="M379" s="167"/>
      <c r="N379" s="62"/>
      <c r="O379" s="194">
        <f>+O378*O374/O373</f>
        <v>1501.8623645403866</v>
      </c>
      <c r="P379" s="180" t="s">
        <v>83</v>
      </c>
      <c r="Q379" s="194">
        <f t="shared" ref="Q379:T379" si="238">+Q378*Q374/Q373</f>
        <v>1079.5647433903409</v>
      </c>
      <c r="R379" s="194">
        <f t="shared" si="238"/>
        <v>1251.9136240094249</v>
      </c>
      <c r="S379" s="194">
        <f t="shared" si="238"/>
        <v>1501.8623645403866</v>
      </c>
      <c r="T379" s="194">
        <f t="shared" si="238"/>
        <v>1678.1422317516601</v>
      </c>
      <c r="U379" s="194">
        <f t="shared" ref="U379" si="239">+U378*U374/U373</f>
        <v>1322.428407269965</v>
      </c>
      <c r="V379" s="194">
        <f t="shared" ref="V379" si="240">+V378*V374/V373</f>
        <v>1458.2826021308624</v>
      </c>
      <c r="W379" s="32"/>
      <c r="X379" s="62"/>
      <c r="Y379" s="62"/>
      <c r="Z379" s="62"/>
      <c r="AA379" s="62"/>
      <c r="AB379" s="119"/>
      <c r="AD379" s="166"/>
      <c r="AE379" s="166"/>
      <c r="AF379" s="166"/>
      <c r="AG379" s="166"/>
      <c r="AH379" s="166"/>
      <c r="AI379" s="166"/>
      <c r="AJ379" s="166"/>
      <c r="AK379" s="166"/>
      <c r="AL379" s="166"/>
      <c r="AM379" s="166"/>
      <c r="AN379" s="166"/>
      <c r="AO379" s="166"/>
      <c r="AP379" s="18"/>
    </row>
    <row r="380" spans="1:42" s="38" customFormat="1">
      <c r="A380" s="49"/>
      <c r="B380" s="49"/>
      <c r="C380" s="49"/>
      <c r="D380" s="49"/>
      <c r="E380" s="49"/>
      <c r="F380" s="18"/>
      <c r="G380" s="18"/>
      <c r="H380" s="34"/>
      <c r="J380" s="18"/>
      <c r="K380" s="18"/>
      <c r="L380" s="62"/>
      <c r="M380" s="167"/>
      <c r="N380" s="62"/>
      <c r="O380" s="194">
        <f>+O378*O375/O373</f>
        <v>1295.7110750314027</v>
      </c>
      <c r="P380" s="180" t="s">
        <v>82</v>
      </c>
      <c r="Q380" s="194">
        <f t="shared" ref="Q380:T380" si="241">+Q378*Q375/Q373</f>
        <v>932.88469419763112</v>
      </c>
      <c r="R380" s="194">
        <f t="shared" si="241"/>
        <v>1081.4058246528311</v>
      </c>
      <c r="S380" s="194">
        <f t="shared" si="241"/>
        <v>1295.7110750314027</v>
      </c>
      <c r="T380" s="194">
        <f t="shared" si="241"/>
        <v>1446.4910285158278</v>
      </c>
      <c r="U380" s="194">
        <f t="shared" ref="U380:V380" si="242">+U378*U375/U373</f>
        <v>1136.2308938845833</v>
      </c>
      <c r="V380" s="194">
        <f t="shared" si="242"/>
        <v>1252.328852679532</v>
      </c>
      <c r="W380" s="32"/>
      <c r="X380" s="62"/>
      <c r="Y380" s="62"/>
      <c r="Z380" s="62"/>
      <c r="AA380" s="62"/>
      <c r="AB380" s="119"/>
      <c r="AD380" s="166"/>
      <c r="AE380" s="166"/>
      <c r="AF380" s="166"/>
      <c r="AG380" s="166"/>
      <c r="AH380" s="166"/>
      <c r="AI380" s="166"/>
      <c r="AJ380" s="166"/>
      <c r="AK380" s="166"/>
      <c r="AL380" s="166"/>
      <c r="AM380" s="166"/>
      <c r="AN380" s="166"/>
      <c r="AO380" s="166"/>
      <c r="AP380" s="18"/>
    </row>
    <row r="381" spans="1:42" s="38" customFormat="1">
      <c r="A381" s="49"/>
      <c r="B381" s="49"/>
      <c r="C381" s="49"/>
      <c r="D381" s="49"/>
      <c r="E381" s="49"/>
      <c r="F381" s="18"/>
      <c r="G381" s="18"/>
      <c r="H381" s="34"/>
      <c r="J381" s="18"/>
      <c r="K381" s="18"/>
      <c r="L381" s="62"/>
      <c r="M381" s="167"/>
      <c r="N381" s="62"/>
      <c r="O381" s="194">
        <f>+O378-O380</f>
        <v>295.3598971736119</v>
      </c>
      <c r="P381" s="180" t="s">
        <v>81</v>
      </c>
      <c r="Q381" s="194">
        <f t="shared" ref="Q381:T381" si="243">+Q378-Q380</f>
        <v>210.15344774300377</v>
      </c>
      <c r="R381" s="194">
        <f t="shared" si="243"/>
        <v>244.2922680969582</v>
      </c>
      <c r="S381" s="194">
        <f t="shared" si="243"/>
        <v>295.3598971736119</v>
      </c>
      <c r="T381" s="194">
        <f t="shared" si="243"/>
        <v>331.89448259501228</v>
      </c>
      <c r="U381" s="194">
        <f t="shared" ref="U381" si="244">+U378-U380</f>
        <v>266.77144993115303</v>
      </c>
      <c r="V381" s="194">
        <f t="shared" ref="V381" si="245">+V378-V380</f>
        <v>295.07687487840712</v>
      </c>
      <c r="W381" s="32"/>
      <c r="X381" s="62"/>
      <c r="Y381" s="62"/>
      <c r="Z381" s="62"/>
      <c r="AA381" s="62"/>
      <c r="AB381" s="119"/>
      <c r="AD381" s="166"/>
      <c r="AE381" s="166"/>
      <c r="AF381" s="166"/>
      <c r="AG381" s="166"/>
      <c r="AH381" s="166"/>
      <c r="AI381" s="166"/>
      <c r="AJ381" s="166"/>
      <c r="AK381" s="166"/>
      <c r="AL381" s="166"/>
      <c r="AM381" s="166"/>
      <c r="AN381" s="166"/>
      <c r="AO381" s="166"/>
      <c r="AP381" s="18"/>
    </row>
    <row r="382" spans="1:42" s="38" customFormat="1">
      <c r="A382" s="49"/>
      <c r="B382" s="49"/>
      <c r="C382" s="49"/>
      <c r="D382" s="49"/>
      <c r="E382" s="49"/>
      <c r="F382" s="18"/>
      <c r="G382" s="17"/>
      <c r="H382" s="34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32"/>
      <c r="X382" s="62"/>
      <c r="Y382" s="62"/>
      <c r="Z382" s="62"/>
      <c r="AA382" s="62"/>
      <c r="AB382" s="223"/>
      <c r="AD382" s="166"/>
      <c r="AE382" s="166"/>
      <c r="AF382" s="166"/>
      <c r="AG382" s="166"/>
      <c r="AH382" s="166"/>
      <c r="AI382" s="166"/>
      <c r="AJ382" s="166"/>
      <c r="AK382" s="166"/>
      <c r="AL382" s="166"/>
      <c r="AM382" s="166"/>
      <c r="AN382" s="166"/>
      <c r="AO382" s="166"/>
      <c r="AP382" s="17"/>
    </row>
    <row r="383" spans="1:42" s="38" customFormat="1">
      <c r="A383" s="49" t="s">
        <v>15</v>
      </c>
      <c r="B383" s="49"/>
      <c r="C383" s="49"/>
      <c r="D383" s="49"/>
      <c r="E383" s="49"/>
      <c r="F383" s="18">
        <v>1000</v>
      </c>
      <c r="G383" s="18"/>
      <c r="H383" s="34"/>
      <c r="J383" s="196" t="s">
        <v>185</v>
      </c>
      <c r="K383" s="18"/>
      <c r="L383" s="62"/>
      <c r="M383" s="167"/>
      <c r="N383" s="213"/>
      <c r="O383" s="197">
        <v>829.50000000000011</v>
      </c>
      <c r="P383" s="196" t="str">
        <f>J383</f>
        <v>Odkupna cena; ocena KIS</v>
      </c>
      <c r="Q383" s="197">
        <v>829.50000000000011</v>
      </c>
      <c r="R383" s="197">
        <v>829.50000000000023</v>
      </c>
      <c r="S383" s="197">
        <v>829.50000000000011</v>
      </c>
      <c r="T383" s="197">
        <v>829.50000000000011</v>
      </c>
      <c r="U383" s="197">
        <v>829.50000000000011</v>
      </c>
      <c r="V383" s="197">
        <v>829.50000000000011</v>
      </c>
      <c r="W383" s="201"/>
      <c r="X383" s="164"/>
      <c r="Y383" s="164"/>
      <c r="Z383" s="164"/>
      <c r="AA383" s="164"/>
      <c r="AB383" s="119"/>
      <c r="AD383" s="166"/>
      <c r="AE383" s="166"/>
      <c r="AF383" s="166"/>
      <c r="AG383" s="166"/>
      <c r="AH383" s="166"/>
      <c r="AI383" s="166"/>
      <c r="AJ383" s="166"/>
      <c r="AK383" s="166"/>
      <c r="AL383" s="166"/>
      <c r="AM383" s="166"/>
      <c r="AN383" s="166"/>
      <c r="AO383" s="166"/>
    </row>
    <row r="384" spans="1:42" s="38" customFormat="1">
      <c r="A384" s="49"/>
      <c r="B384" s="49"/>
      <c r="C384" s="49"/>
      <c r="D384" s="49"/>
      <c r="E384" s="49"/>
      <c r="F384" s="18"/>
      <c r="G384" s="17"/>
      <c r="H384" s="34"/>
      <c r="J384" s="198" t="str">
        <f>+J347</f>
        <v>Bruto dodana vrednost</v>
      </c>
      <c r="K384" s="18"/>
      <c r="L384" s="164"/>
      <c r="M384" s="165"/>
      <c r="N384" s="164"/>
      <c r="O384" s="199">
        <f>O372+O371+O359-O357</f>
        <v>2178.1456663521294</v>
      </c>
      <c r="P384" s="195"/>
      <c r="Q384" s="199">
        <f t="shared" ref="Q384:T384" si="246">Q372+Q371+Q359-Q357</f>
        <v>4912.9932912181175</v>
      </c>
      <c r="R384" s="199">
        <f t="shared" si="246"/>
        <v>3513.1201494364623</v>
      </c>
      <c r="S384" s="199">
        <f t="shared" si="246"/>
        <v>2178.1456663521294</v>
      </c>
      <c r="T384" s="199">
        <f t="shared" si="246"/>
        <v>1527.2888329786983</v>
      </c>
      <c r="U384" s="199">
        <f t="shared" ref="U384:V384" si="247">U372+U371+U359-U357</f>
        <v>3420.4312654996411</v>
      </c>
      <c r="V384" s="199">
        <f t="shared" si="247"/>
        <v>2650.259420504407</v>
      </c>
      <c r="W384" s="32"/>
      <c r="X384" s="62"/>
      <c r="Y384" s="62"/>
      <c r="Z384" s="62"/>
      <c r="AA384" s="62"/>
      <c r="AB384" s="223"/>
      <c r="AD384" s="166"/>
      <c r="AE384" s="166"/>
      <c r="AF384" s="166"/>
      <c r="AG384" s="166"/>
      <c r="AH384" s="166"/>
      <c r="AI384" s="166"/>
      <c r="AJ384" s="166"/>
      <c r="AK384" s="166"/>
      <c r="AL384" s="166"/>
      <c r="AM384" s="166"/>
      <c r="AN384" s="166"/>
      <c r="AO384" s="166"/>
    </row>
    <row r="385" spans="1:41" s="38" customFormat="1">
      <c r="A385" s="112" t="s">
        <v>11</v>
      </c>
      <c r="B385" s="49"/>
      <c r="C385" s="49"/>
      <c r="D385" s="49"/>
      <c r="E385" s="49"/>
      <c r="F385" s="18"/>
      <c r="G385" s="62"/>
      <c r="H385" s="34"/>
      <c r="J385" s="182" t="s">
        <v>11</v>
      </c>
      <c r="K385" s="46"/>
      <c r="L385" s="62"/>
      <c r="M385" s="167"/>
      <c r="N385" s="62"/>
      <c r="O385" s="35">
        <v>2300.454136123918</v>
      </c>
      <c r="P385" s="42"/>
      <c r="Q385" s="35">
        <v>2355.503702072212</v>
      </c>
      <c r="R385" s="35">
        <v>2328.3654467632678</v>
      </c>
      <c r="S385" s="35">
        <v>2300.454136123918</v>
      </c>
      <c r="T385" s="35">
        <v>2286.763927619269</v>
      </c>
      <c r="U385" s="35">
        <v>2474.7686976695268</v>
      </c>
      <c r="V385" s="159">
        <v>2458.8430994113924</v>
      </c>
      <c r="W385" s="201"/>
      <c r="X385" s="164"/>
      <c r="Y385" s="164"/>
      <c r="Z385" s="164"/>
      <c r="AA385" s="164"/>
      <c r="AB385" s="119"/>
      <c r="AD385" s="166"/>
      <c r="AE385" s="166"/>
      <c r="AF385" s="166"/>
      <c r="AG385" s="166"/>
      <c r="AH385" s="166"/>
      <c r="AI385" s="166"/>
      <c r="AJ385" s="166"/>
      <c r="AK385" s="166"/>
      <c r="AL385" s="166"/>
      <c r="AM385" s="166"/>
      <c r="AN385" s="166"/>
      <c r="AO385" s="166"/>
    </row>
    <row r="386" spans="1:41" s="38" customFormat="1">
      <c r="A386" s="49"/>
      <c r="B386" s="49"/>
      <c r="C386" s="49"/>
      <c r="D386" s="49"/>
      <c r="E386" s="49"/>
      <c r="G386" s="119"/>
      <c r="H386" s="34"/>
      <c r="J386" s="18" t="s">
        <v>157</v>
      </c>
      <c r="K386" s="46"/>
      <c r="L386" s="62"/>
      <c r="M386" s="167"/>
      <c r="N386" s="62"/>
      <c r="O386" s="220">
        <f>+O384-O385</f>
        <v>-122.30846977178862</v>
      </c>
      <c r="P386" s="42"/>
      <c r="Q386" s="220">
        <f t="shared" ref="Q386:T386" si="248">+Q384-Q385</f>
        <v>2557.4895891459055</v>
      </c>
      <c r="R386" s="220">
        <f t="shared" si="248"/>
        <v>1184.7547026731945</v>
      </c>
      <c r="S386" s="220">
        <f t="shared" si="248"/>
        <v>-122.30846977178862</v>
      </c>
      <c r="T386" s="220">
        <f t="shared" si="248"/>
        <v>-759.47509464057066</v>
      </c>
      <c r="U386" s="220">
        <f t="shared" ref="U386" si="249">+U384-U385</f>
        <v>945.66256783011431</v>
      </c>
      <c r="V386" s="159">
        <f t="shared" ref="V386" si="250">+V384-V385</f>
        <v>191.41632109301463</v>
      </c>
      <c r="W386" s="201"/>
      <c r="X386" s="164"/>
      <c r="Y386" s="164"/>
      <c r="Z386" s="164"/>
      <c r="AA386" s="164"/>
      <c r="AB386" s="119"/>
      <c r="AD386" s="166"/>
      <c r="AE386" s="166"/>
      <c r="AF386" s="166"/>
      <c r="AG386" s="166"/>
      <c r="AH386" s="166"/>
      <c r="AI386" s="166"/>
      <c r="AJ386" s="166"/>
      <c r="AK386" s="166"/>
      <c r="AL386" s="166"/>
      <c r="AM386" s="166"/>
      <c r="AN386" s="166"/>
      <c r="AO386" s="166"/>
    </row>
    <row r="387" spans="1:41" s="38" customFormat="1">
      <c r="A387" s="49"/>
      <c r="B387" s="49"/>
      <c r="C387" s="49"/>
      <c r="D387" s="49"/>
      <c r="E387" s="49"/>
      <c r="G387" s="114"/>
      <c r="H387" s="61"/>
      <c r="I387" s="61" t="str">
        <f>+J389</f>
        <v>Grozdje-terase primorska</v>
      </c>
      <c r="J387" s="60" t="s">
        <v>10</v>
      </c>
      <c r="K387" s="61"/>
      <c r="L387" s="61"/>
      <c r="M387" s="61"/>
      <c r="N387" s="61"/>
      <c r="O387" s="145" t="e">
        <f>O395-O407+O400-'2026'!#REF!</f>
        <v>#REF!</v>
      </c>
      <c r="P387" s="61"/>
      <c r="Q387" s="145" t="e">
        <f>Q395-Q407+Q400-'2026'!#REF!</f>
        <v>#REF!</v>
      </c>
      <c r="R387" s="145" t="e">
        <f>R395-R407+R400-'2026'!#REF!</f>
        <v>#REF!</v>
      </c>
      <c r="S387" s="145" t="e">
        <f>S395-S407+S400-'2026'!#REF!</f>
        <v>#REF!</v>
      </c>
      <c r="T387" s="145" t="e">
        <f>T395-T407+T400-'2026'!#REF!</f>
        <v>#REF!</v>
      </c>
      <c r="U387" s="145" t="e">
        <f>U395-U407+U400-'2026'!#REF!</f>
        <v>#REF!</v>
      </c>
      <c r="V387" s="145" t="e">
        <f>V395-V407+V400-'2026'!#REF!</f>
        <v>#REF!</v>
      </c>
      <c r="W387" s="201"/>
      <c r="X387" s="164"/>
      <c r="Y387" s="61"/>
      <c r="Z387" s="61"/>
      <c r="AA387" s="61"/>
      <c r="AB387" s="114"/>
      <c r="AC387" s="114"/>
      <c r="AD387" s="166"/>
      <c r="AE387" s="166"/>
      <c r="AF387" s="166"/>
      <c r="AG387" s="166"/>
      <c r="AH387" s="166"/>
      <c r="AI387" s="166"/>
      <c r="AJ387" s="166"/>
      <c r="AK387" s="166"/>
      <c r="AL387" s="166"/>
      <c r="AM387" s="166"/>
      <c r="AN387" s="166"/>
      <c r="AO387" s="166"/>
    </row>
    <row r="388" spans="1:41" s="38" customFormat="1">
      <c r="A388" s="49"/>
      <c r="B388" s="49"/>
      <c r="C388" s="49"/>
      <c r="D388" s="49"/>
      <c r="E388" s="49"/>
      <c r="G388" s="115"/>
      <c r="H388" s="227"/>
      <c r="I388" s="38" t="str">
        <f t="shared" ref="I388:I409" si="251">+I387</f>
        <v>Grozdje-terase primorska</v>
      </c>
      <c r="J388" s="36" t="s">
        <v>116</v>
      </c>
      <c r="K388" s="37"/>
      <c r="L388" s="37"/>
      <c r="M388" s="148"/>
      <c r="N388" s="37"/>
      <c r="O388" s="204" t="e">
        <f>#REF!</f>
        <v>#REF!</v>
      </c>
      <c r="P388" s="204"/>
      <c r="Q388" s="149" t="e">
        <f>#REF!</f>
        <v>#REF!</v>
      </c>
      <c r="R388" s="149" t="e">
        <f>#REF!</f>
        <v>#REF!</v>
      </c>
      <c r="S388" s="149" t="e">
        <f>#REF!</f>
        <v>#REF!</v>
      </c>
      <c r="T388" s="149" t="e">
        <f>#REF!</f>
        <v>#REF!</v>
      </c>
      <c r="U388" s="149" t="e">
        <f>#REF!</f>
        <v>#REF!</v>
      </c>
      <c r="V388" s="37" t="e">
        <f>#REF!</f>
        <v>#REF!</v>
      </c>
      <c r="W388" s="37"/>
      <c r="X388" s="149" t="e">
        <f>#REF!</f>
        <v>#REF!</v>
      </c>
      <c r="Y388" s="149"/>
      <c r="Z388" s="37"/>
      <c r="AA388" s="37"/>
      <c r="AB388" s="114"/>
      <c r="AC388" s="114"/>
      <c r="AD388" s="166"/>
      <c r="AE388" s="166"/>
      <c r="AF388" s="166"/>
      <c r="AG388" s="166"/>
      <c r="AH388" s="166"/>
      <c r="AI388" s="166"/>
      <c r="AJ388" s="166"/>
      <c r="AK388" s="166"/>
      <c r="AL388" s="166"/>
      <c r="AM388" s="166"/>
      <c r="AN388" s="166"/>
      <c r="AO388" s="166"/>
    </row>
    <row r="389" spans="1:41" s="38" customFormat="1">
      <c r="A389" s="49"/>
      <c r="B389" s="49"/>
      <c r="C389" s="49"/>
      <c r="D389" s="49"/>
      <c r="E389" s="49"/>
      <c r="F389" s="38" t="e">
        <f>#REF!</f>
        <v>#REF!</v>
      </c>
      <c r="G389" s="115"/>
      <c r="H389" s="227"/>
      <c r="I389" s="38" t="str">
        <f t="shared" si="251"/>
        <v>Grozdje-terase primorska</v>
      </c>
      <c r="J389" s="40" t="s">
        <v>195</v>
      </c>
      <c r="K389" s="18" t="str">
        <f>+K$56</f>
        <v>Enota</v>
      </c>
      <c r="L389" s="102"/>
      <c r="M389" s="150"/>
      <c r="N389" s="144"/>
      <c r="O389" s="107"/>
      <c r="P389" s="107"/>
      <c r="Q389" s="18"/>
      <c r="R389" s="18"/>
      <c r="S389" s="107"/>
      <c r="T389" s="18"/>
      <c r="U389" s="107"/>
      <c r="AB389" s="228"/>
      <c r="AC389" s="228"/>
      <c r="AD389" s="166"/>
      <c r="AE389" s="166"/>
      <c r="AF389" s="166"/>
      <c r="AG389" s="166"/>
      <c r="AH389" s="166"/>
      <c r="AI389" s="166"/>
      <c r="AJ389" s="166"/>
      <c r="AK389" s="166"/>
      <c r="AL389" s="166"/>
      <c r="AM389" s="166"/>
      <c r="AN389" s="166"/>
      <c r="AO389" s="166"/>
    </row>
    <row r="390" spans="1:41" s="38" customFormat="1">
      <c r="A390" s="49"/>
      <c r="B390" s="49"/>
      <c r="C390" s="49"/>
      <c r="D390" s="49"/>
      <c r="E390" s="49"/>
      <c r="G390" s="115"/>
      <c r="H390" s="227"/>
      <c r="I390" s="38" t="str">
        <f t="shared" si="251"/>
        <v>Grozdje-terase primorska</v>
      </c>
      <c r="J390" s="17" t="s">
        <v>65</v>
      </c>
      <c r="K390" s="18"/>
      <c r="L390" s="102"/>
      <c r="M390" s="150"/>
      <c r="N390" s="144"/>
      <c r="O390" s="107"/>
      <c r="P390" s="107"/>
      <c r="Q390" s="102"/>
      <c r="R390" s="102"/>
      <c r="S390" s="102"/>
      <c r="T390" s="102"/>
      <c r="U390" s="102"/>
      <c r="V390" s="102"/>
      <c r="W390" s="102"/>
      <c r="X390" s="144"/>
      <c r="Y390" s="102"/>
      <c r="Z390" s="102"/>
      <c r="AA390" s="102"/>
      <c r="AB390" s="229"/>
      <c r="AC390" s="229"/>
      <c r="AD390" s="166"/>
      <c r="AE390" s="166"/>
      <c r="AF390" s="166"/>
      <c r="AG390" s="166"/>
      <c r="AH390" s="166"/>
      <c r="AI390" s="166"/>
      <c r="AJ390" s="166"/>
      <c r="AK390" s="166"/>
      <c r="AL390" s="166"/>
      <c r="AM390" s="166"/>
      <c r="AN390" s="166"/>
      <c r="AO390" s="166"/>
    </row>
    <row r="391" spans="1:41" s="38" customFormat="1">
      <c r="A391" s="49" t="s">
        <v>9</v>
      </c>
      <c r="B391" s="49"/>
      <c r="C391" s="49"/>
      <c r="D391" s="49"/>
      <c r="E391" s="49"/>
      <c r="F391" s="18"/>
      <c r="G391" s="115"/>
      <c r="H391" s="227"/>
      <c r="I391" s="38" t="str">
        <f t="shared" si="251"/>
        <v>Grozdje-terase primorska</v>
      </c>
      <c r="J391" s="17" t="s">
        <v>8</v>
      </c>
      <c r="K391" s="18" t="s">
        <v>57</v>
      </c>
      <c r="L391" s="152"/>
      <c r="M391" s="205"/>
      <c r="N391" s="154"/>
      <c r="O391" s="159">
        <v>9000</v>
      </c>
      <c r="P391" s="18"/>
      <c r="Q391" s="159">
        <v>12000</v>
      </c>
      <c r="R391" s="159">
        <v>10000</v>
      </c>
      <c r="S391" s="159">
        <v>9000</v>
      </c>
      <c r="T391" s="159">
        <v>8000</v>
      </c>
      <c r="U391" s="159">
        <v>9000</v>
      </c>
      <c r="V391" s="159">
        <v>9000</v>
      </c>
      <c r="W391" s="102"/>
      <c r="X391" s="147"/>
      <c r="Y391" s="147"/>
      <c r="Z391" s="147"/>
      <c r="AA391" s="147"/>
      <c r="AB391" s="223"/>
      <c r="AC391" s="223"/>
      <c r="AD391" s="166"/>
      <c r="AE391" s="166"/>
      <c r="AF391" s="166"/>
      <c r="AG391" s="166"/>
      <c r="AH391" s="166"/>
      <c r="AI391" s="166"/>
      <c r="AJ391" s="166"/>
      <c r="AK391" s="166"/>
      <c r="AL391" s="166"/>
      <c r="AM391" s="166"/>
      <c r="AN391" s="166"/>
      <c r="AO391" s="166"/>
    </row>
    <row r="392" spans="1:41" s="38" customFormat="1">
      <c r="A392" s="49" t="s">
        <v>75</v>
      </c>
      <c r="B392" s="49"/>
      <c r="C392" s="49"/>
      <c r="D392" s="49"/>
      <c r="E392" s="49"/>
      <c r="F392" s="18"/>
      <c r="G392" s="115"/>
      <c r="H392" s="227"/>
      <c r="I392" s="38" t="str">
        <f t="shared" si="251"/>
        <v>Grozdje-terase primorska</v>
      </c>
      <c r="J392" s="17"/>
      <c r="K392" s="18" t="s">
        <v>56</v>
      </c>
      <c r="L392" s="152"/>
      <c r="M392" s="205"/>
      <c r="N392" s="154"/>
      <c r="O392" s="225">
        <f>O391/O393</f>
        <v>2.25</v>
      </c>
      <c r="P392" s="211"/>
      <c r="Q392" s="225">
        <f t="shared" ref="Q392:V392" si="252">ROUND(Q391/Q393,2)</f>
        <v>3</v>
      </c>
      <c r="R392" s="225">
        <f t="shared" si="252"/>
        <v>2.5</v>
      </c>
      <c r="S392" s="225">
        <f t="shared" si="252"/>
        <v>2.25</v>
      </c>
      <c r="T392" s="225">
        <f t="shared" si="252"/>
        <v>2</v>
      </c>
      <c r="U392" s="225">
        <f t="shared" si="252"/>
        <v>2</v>
      </c>
      <c r="V392" s="225">
        <f t="shared" si="252"/>
        <v>2.57</v>
      </c>
      <c r="W392" s="102"/>
      <c r="X392" s="102"/>
      <c r="Y392" s="102"/>
      <c r="Z392" s="102"/>
      <c r="AA392" s="102"/>
      <c r="AB392" s="119"/>
      <c r="AC392" s="119"/>
      <c r="AD392" s="166"/>
      <c r="AE392" s="166"/>
      <c r="AF392" s="166"/>
      <c r="AG392" s="166"/>
      <c r="AH392" s="166"/>
      <c r="AI392" s="166"/>
      <c r="AJ392" s="166"/>
      <c r="AK392" s="166"/>
      <c r="AL392" s="166"/>
      <c r="AM392" s="166"/>
      <c r="AN392" s="166"/>
      <c r="AO392" s="166"/>
    </row>
    <row r="393" spans="1:41" s="38" customFormat="1">
      <c r="A393" s="49" t="s">
        <v>166</v>
      </c>
      <c r="B393" s="49"/>
      <c r="C393" s="49"/>
      <c r="D393" s="49"/>
      <c r="E393" s="49"/>
      <c r="F393" s="18"/>
      <c r="G393" s="115"/>
      <c r="H393" s="227"/>
      <c r="I393" s="38" t="str">
        <f t="shared" si="251"/>
        <v>Grozdje-terase primorska</v>
      </c>
      <c r="J393" s="17" t="s">
        <v>55</v>
      </c>
      <c r="K393" s="18" t="s">
        <v>54</v>
      </c>
      <c r="L393" s="102"/>
      <c r="M393" s="150">
        <v>4000</v>
      </c>
      <c r="N393" s="144"/>
      <c r="O393" s="159">
        <v>4000</v>
      </c>
      <c r="P393" s="42"/>
      <c r="Q393" s="159">
        <v>4000</v>
      </c>
      <c r="R393" s="159">
        <v>4000</v>
      </c>
      <c r="S393" s="159">
        <v>4000</v>
      </c>
      <c r="T393" s="159">
        <v>4000</v>
      </c>
      <c r="U393" s="159">
        <v>4500</v>
      </c>
      <c r="V393" s="159">
        <v>3500</v>
      </c>
      <c r="W393" s="102"/>
      <c r="X393" s="147"/>
      <c r="Y393" s="147"/>
      <c r="Z393" s="147"/>
      <c r="AA393" s="147"/>
      <c r="AB393" s="119"/>
      <c r="AC393" s="119"/>
      <c r="AD393" s="166"/>
      <c r="AE393" s="166"/>
      <c r="AF393" s="166"/>
      <c r="AG393" s="166"/>
      <c r="AH393" s="166"/>
      <c r="AI393" s="166"/>
      <c r="AJ393" s="166"/>
      <c r="AK393" s="166"/>
      <c r="AL393" s="166"/>
      <c r="AM393" s="166"/>
      <c r="AN393" s="166"/>
      <c r="AO393" s="166"/>
    </row>
    <row r="394" spans="1:41" s="38" customFormat="1">
      <c r="A394" s="112" t="s">
        <v>12</v>
      </c>
      <c r="B394" s="49"/>
      <c r="C394" s="49"/>
      <c r="D394" s="49"/>
      <c r="E394" s="49"/>
      <c r="F394" s="18"/>
      <c r="G394" s="115"/>
      <c r="H394" s="227"/>
      <c r="I394" s="38" t="str">
        <f t="shared" si="251"/>
        <v>Grozdje-terase primorska</v>
      </c>
      <c r="J394" s="17" t="str">
        <f>+J$61</f>
        <v>Kupljen material in storitve</v>
      </c>
      <c r="K394" s="18"/>
      <c r="L394" s="18"/>
      <c r="M394" s="136"/>
      <c r="N394" s="18"/>
      <c r="O394" s="159">
        <v>4097.4447890823312</v>
      </c>
      <c r="P394" s="42"/>
      <c r="Q394" s="159">
        <v>4478.5019076951203</v>
      </c>
      <c r="R394" s="159">
        <v>4235.1170560732135</v>
      </c>
      <c r="S394" s="159">
        <v>4097.4447890823312</v>
      </c>
      <c r="T394" s="159">
        <v>3957.0865057539891</v>
      </c>
      <c r="U394" s="159">
        <v>4174.7363791626622</v>
      </c>
      <c r="V394" s="159">
        <v>4020.1531990020067</v>
      </c>
      <c r="W394" s="152"/>
      <c r="X394" s="147"/>
      <c r="Y394" s="147"/>
      <c r="Z394" s="147"/>
      <c r="AA394" s="147"/>
      <c r="AB394" s="119"/>
      <c r="AC394" s="119"/>
      <c r="AD394" s="166"/>
      <c r="AE394" s="166"/>
      <c r="AF394" s="166"/>
      <c r="AG394" s="166"/>
      <c r="AH394" s="166"/>
      <c r="AI394" s="166"/>
      <c r="AJ394" s="166"/>
      <c r="AK394" s="166"/>
      <c r="AL394" s="166"/>
      <c r="AM394" s="166"/>
      <c r="AN394" s="166"/>
      <c r="AO394" s="166"/>
    </row>
    <row r="395" spans="1:41" s="38" customFormat="1">
      <c r="A395" s="49" t="s">
        <v>5</v>
      </c>
      <c r="B395" s="49"/>
      <c r="C395" s="49"/>
      <c r="D395" s="49"/>
      <c r="E395" s="49"/>
      <c r="F395" s="18"/>
      <c r="G395" s="115"/>
      <c r="H395" s="227"/>
      <c r="I395" s="38" t="str">
        <f t="shared" si="251"/>
        <v>Grozdje-terase primorska</v>
      </c>
      <c r="J395" s="17" t="str">
        <f>+J$62</f>
        <v>Stroški skupaj</v>
      </c>
      <c r="K395" s="18" t="str">
        <f>+K$62</f>
        <v>EUR/ha</v>
      </c>
      <c r="L395" s="43"/>
      <c r="M395" s="214"/>
      <c r="N395" s="42"/>
      <c r="O395" s="159">
        <v>11031.918850455111</v>
      </c>
      <c r="P395" s="42"/>
      <c r="Q395" s="159">
        <v>11657.822396282148</v>
      </c>
      <c r="R395" s="159">
        <v>11253.227320389966</v>
      </c>
      <c r="S395" s="159">
        <v>11031.918850455111</v>
      </c>
      <c r="T395" s="159">
        <v>10810.324404336114</v>
      </c>
      <c r="U395" s="159">
        <v>11492.185664673438</v>
      </c>
      <c r="V395" s="159">
        <v>10571.652036236788</v>
      </c>
      <c r="W395" s="156"/>
      <c r="X395" s="147"/>
      <c r="Y395" s="147"/>
      <c r="Z395" s="147"/>
      <c r="AA395" s="147"/>
      <c r="AB395" s="223"/>
      <c r="AC395" s="223"/>
      <c r="AD395" s="166"/>
      <c r="AE395" s="166"/>
      <c r="AF395" s="166"/>
      <c r="AG395" s="166"/>
      <c r="AH395" s="166"/>
      <c r="AI395" s="166"/>
      <c r="AJ395" s="166"/>
      <c r="AK395" s="166"/>
      <c r="AL395" s="166"/>
      <c r="AM395" s="166"/>
      <c r="AN395" s="166"/>
      <c r="AO395" s="166"/>
    </row>
    <row r="396" spans="1:41" s="38" customFormat="1">
      <c r="A396" s="49" t="s">
        <v>4</v>
      </c>
      <c r="B396" s="49"/>
      <c r="C396" s="49"/>
      <c r="D396" s="49"/>
      <c r="E396" s="49"/>
      <c r="F396" s="18"/>
      <c r="G396" s="115"/>
      <c r="H396" s="227"/>
      <c r="I396" s="38" t="str">
        <f t="shared" si="251"/>
        <v>Grozdje-terase primorska</v>
      </c>
      <c r="J396" s="17" t="str">
        <f>+J$63</f>
        <v>Stranski pridelki</v>
      </c>
      <c r="K396" s="18" t="str">
        <f>+K$63</f>
        <v>EUR/ha</v>
      </c>
      <c r="L396" s="43"/>
      <c r="M396" s="214"/>
      <c r="N396" s="43"/>
      <c r="O396" s="159">
        <v>0</v>
      </c>
      <c r="P396" s="43"/>
      <c r="Q396" s="159">
        <v>0</v>
      </c>
      <c r="R396" s="159">
        <v>0</v>
      </c>
      <c r="S396" s="159">
        <v>0</v>
      </c>
      <c r="T396" s="159">
        <v>0</v>
      </c>
      <c r="U396" s="159">
        <v>0</v>
      </c>
      <c r="V396" s="159">
        <v>0</v>
      </c>
      <c r="W396" s="201"/>
      <c r="X396" s="147"/>
      <c r="Y396" s="147"/>
      <c r="Z396" s="147"/>
      <c r="AA396" s="147"/>
      <c r="AB396" s="119"/>
      <c r="AC396" s="119"/>
      <c r="AD396" s="166"/>
      <c r="AE396" s="166"/>
      <c r="AF396" s="166"/>
      <c r="AG396" s="166"/>
      <c r="AH396" s="166"/>
      <c r="AI396" s="166"/>
      <c r="AJ396" s="166"/>
      <c r="AK396" s="166"/>
      <c r="AL396" s="166"/>
      <c r="AM396" s="166"/>
      <c r="AN396" s="166"/>
      <c r="AO396" s="166"/>
    </row>
    <row r="397" spans="1:41" s="38" customFormat="1">
      <c r="A397" s="49"/>
      <c r="B397" s="49"/>
      <c r="C397" s="49"/>
      <c r="D397" s="49"/>
      <c r="E397" s="49"/>
      <c r="F397" s="18"/>
      <c r="G397" s="115"/>
      <c r="H397" s="227"/>
      <c r="I397" s="38" t="str">
        <f t="shared" si="251"/>
        <v>Grozdje-terase primorska</v>
      </c>
      <c r="J397" s="17" t="str">
        <f>+J$64</f>
        <v>Stroški glavnega pridelka</v>
      </c>
      <c r="K397" s="18" t="str">
        <f>+K$64</f>
        <v>EUR/ha</v>
      </c>
      <c r="L397" s="215"/>
      <c r="M397" s="214"/>
      <c r="N397" s="215"/>
      <c r="O397" s="169">
        <f>+O395-O396</f>
        <v>11031.918850455111</v>
      </c>
      <c r="P397" s="43"/>
      <c r="Q397" s="169">
        <f t="shared" ref="Q397:V397" si="253">+Q395-Q396</f>
        <v>11657.822396282148</v>
      </c>
      <c r="R397" s="169">
        <f t="shared" si="253"/>
        <v>11253.227320389966</v>
      </c>
      <c r="S397" s="169">
        <f t="shared" si="253"/>
        <v>11031.918850455111</v>
      </c>
      <c r="T397" s="169">
        <f t="shared" si="253"/>
        <v>10810.324404336114</v>
      </c>
      <c r="U397" s="169">
        <f t="shared" si="253"/>
        <v>11492.185664673438</v>
      </c>
      <c r="V397" s="169">
        <f t="shared" si="253"/>
        <v>10571.652036236788</v>
      </c>
      <c r="W397" s="32"/>
      <c r="X397" s="147"/>
      <c r="Y397" s="147"/>
      <c r="Z397" s="147"/>
      <c r="AA397" s="147"/>
      <c r="AB397" s="119"/>
      <c r="AC397" s="119"/>
      <c r="AD397" s="166"/>
      <c r="AE397" s="166"/>
      <c r="AF397" s="166"/>
      <c r="AG397" s="166"/>
      <c r="AH397" s="166"/>
      <c r="AI397" s="166"/>
      <c r="AJ397" s="166"/>
      <c r="AK397" s="166"/>
      <c r="AL397" s="166"/>
      <c r="AM397" s="166"/>
      <c r="AN397" s="166"/>
      <c r="AO397" s="166"/>
    </row>
    <row r="398" spans="1:41" s="38" customFormat="1">
      <c r="A398" s="49" t="s">
        <v>3</v>
      </c>
      <c r="B398" s="49" t="s">
        <v>0</v>
      </c>
      <c r="C398" s="49" t="s">
        <v>2</v>
      </c>
      <c r="D398" s="49" t="s">
        <v>1</v>
      </c>
      <c r="E398" s="49" t="s">
        <v>0</v>
      </c>
      <c r="F398" s="18"/>
      <c r="G398" s="115"/>
      <c r="H398" s="227"/>
      <c r="I398" s="38" t="str">
        <f t="shared" si="251"/>
        <v>Grozdje-terase primorska</v>
      </c>
      <c r="J398" s="17" t="str">
        <f>+J$65</f>
        <v>Subvencije</v>
      </c>
      <c r="K398" s="18" t="str">
        <f>+K$65</f>
        <v>EUR/ha</v>
      </c>
      <c r="L398" s="43"/>
      <c r="M398" s="214"/>
      <c r="N398" s="43"/>
      <c r="O398" s="159">
        <v>23.94</v>
      </c>
      <c r="P398" s="43"/>
      <c r="Q398" s="159">
        <v>23.94</v>
      </c>
      <c r="R398" s="159">
        <v>23.94</v>
      </c>
      <c r="S398" s="159">
        <v>23.94</v>
      </c>
      <c r="T398" s="159">
        <v>23.94</v>
      </c>
      <c r="U398" s="159">
        <v>23.94</v>
      </c>
      <c r="V398" s="159">
        <v>23.94</v>
      </c>
      <c r="W398" s="32"/>
      <c r="X398" s="147"/>
      <c r="Y398" s="147"/>
      <c r="Z398" s="147"/>
      <c r="AA398" s="147"/>
      <c r="AB398" s="119"/>
      <c r="AC398" s="119"/>
      <c r="AD398" s="166"/>
      <c r="AE398" s="166"/>
      <c r="AF398" s="166"/>
      <c r="AG398" s="166"/>
      <c r="AH398" s="166"/>
      <c r="AI398" s="166"/>
      <c r="AJ398" s="166"/>
      <c r="AK398" s="166"/>
      <c r="AL398" s="166"/>
      <c r="AM398" s="166"/>
      <c r="AN398" s="166"/>
      <c r="AO398" s="166"/>
    </row>
    <row r="399" spans="1:41" s="38" customFormat="1">
      <c r="A399" s="49"/>
      <c r="B399" s="49"/>
      <c r="C399" s="49" t="s">
        <v>6</v>
      </c>
      <c r="D399" s="49"/>
      <c r="E399" s="49"/>
      <c r="F399" s="18"/>
      <c r="G399" s="115"/>
      <c r="H399" s="227"/>
      <c r="I399" s="38" t="str">
        <f t="shared" si="251"/>
        <v>Grozdje-terase primorska</v>
      </c>
      <c r="J399" s="17" t="str">
        <f>+J$66</f>
        <v>Stroški, zmanjšani za subvencije</v>
      </c>
      <c r="K399" s="18" t="str">
        <f>+K$66</f>
        <v>EUR/ha</v>
      </c>
      <c r="L399" s="215"/>
      <c r="M399" s="214"/>
      <c r="N399" s="215"/>
      <c r="O399" s="171">
        <f>+O397-O398</f>
        <v>11007.978850455111</v>
      </c>
      <c r="P399" s="43"/>
      <c r="Q399" s="171">
        <f t="shared" ref="Q399:V399" si="254">+Q397-Q398</f>
        <v>11633.882396282148</v>
      </c>
      <c r="R399" s="171">
        <f t="shared" si="254"/>
        <v>11229.287320389965</v>
      </c>
      <c r="S399" s="171">
        <f t="shared" si="254"/>
        <v>11007.978850455111</v>
      </c>
      <c r="T399" s="171">
        <f t="shared" si="254"/>
        <v>10786.384404336113</v>
      </c>
      <c r="U399" s="171">
        <f t="shared" si="254"/>
        <v>11468.245664673437</v>
      </c>
      <c r="V399" s="171">
        <f t="shared" si="254"/>
        <v>10547.712036236788</v>
      </c>
      <c r="W399" s="32"/>
      <c r="X399" s="147"/>
      <c r="Y399" s="147"/>
      <c r="Z399" s="147"/>
      <c r="AA399" s="147"/>
      <c r="AB399" s="119"/>
      <c r="AC399" s="119"/>
      <c r="AD399" s="166"/>
      <c r="AE399" s="166"/>
      <c r="AF399" s="166"/>
      <c r="AG399" s="166"/>
      <c r="AH399" s="166"/>
      <c r="AI399" s="166"/>
      <c r="AJ399" s="166"/>
      <c r="AK399" s="166"/>
      <c r="AL399" s="166"/>
      <c r="AM399" s="166"/>
      <c r="AN399" s="166"/>
      <c r="AO399" s="166"/>
    </row>
    <row r="400" spans="1:41" s="38" customFormat="1">
      <c r="A400" s="49"/>
      <c r="B400" s="49"/>
      <c r="C400" s="49"/>
      <c r="D400" s="49"/>
      <c r="E400" s="49"/>
      <c r="F400" s="18"/>
      <c r="G400" s="115"/>
      <c r="H400" s="227"/>
      <c r="I400" s="38" t="str">
        <f t="shared" si="251"/>
        <v>Grozdje-terase primorska</v>
      </c>
      <c r="J400" s="17" t="str">
        <f>+J$67</f>
        <v>Stroški, zmanjšani za subvencije/kg</v>
      </c>
      <c r="K400" s="18" t="str">
        <f>+K$67</f>
        <v>EUR/kg</v>
      </c>
      <c r="L400" s="216"/>
      <c r="M400" s="217"/>
      <c r="N400" s="215"/>
      <c r="O400" s="177">
        <f>+O399/O391</f>
        <v>1.2231087611616789</v>
      </c>
      <c r="P400" s="218"/>
      <c r="Q400" s="177">
        <f t="shared" ref="Q400:V400" si="255">+Q399/Q391</f>
        <v>0.96949019969017902</v>
      </c>
      <c r="R400" s="177">
        <f t="shared" si="255"/>
        <v>1.1229287320389965</v>
      </c>
      <c r="S400" s="177">
        <f t="shared" si="255"/>
        <v>1.2231087611616789</v>
      </c>
      <c r="T400" s="177">
        <f t="shared" si="255"/>
        <v>1.3482980505420141</v>
      </c>
      <c r="U400" s="177">
        <f t="shared" si="255"/>
        <v>1.2742495182970486</v>
      </c>
      <c r="V400" s="177">
        <f t="shared" si="255"/>
        <v>1.1719680040263099</v>
      </c>
      <c r="W400" s="32"/>
      <c r="X400" s="147"/>
      <c r="Y400" s="147"/>
      <c r="Z400" s="147"/>
      <c r="AA400" s="147"/>
      <c r="AB400" s="119"/>
      <c r="AC400" s="119"/>
      <c r="AD400" s="166"/>
      <c r="AE400" s="166"/>
      <c r="AF400" s="166"/>
      <c r="AG400" s="166"/>
      <c r="AH400" s="166"/>
      <c r="AI400" s="166"/>
      <c r="AJ400" s="166"/>
      <c r="AK400" s="166"/>
      <c r="AL400" s="166"/>
      <c r="AM400" s="166"/>
      <c r="AN400" s="166"/>
      <c r="AO400" s="166"/>
    </row>
    <row r="401" spans="1:42" s="38" customFormat="1">
      <c r="A401" s="49" t="s">
        <v>136</v>
      </c>
      <c r="B401" s="49"/>
      <c r="C401" s="49"/>
      <c r="D401" s="49"/>
      <c r="E401" s="49"/>
      <c r="F401" s="18"/>
      <c r="G401" s="115"/>
      <c r="H401" s="227"/>
      <c r="I401" s="38" t="str">
        <f t="shared" si="251"/>
        <v>Grozdje-terase primorska</v>
      </c>
      <c r="J401" s="17" t="str">
        <f t="shared" ref="J401" si="256">+J364</f>
        <v>davek_a</v>
      </c>
      <c r="K401" s="18"/>
      <c r="L401" s="43"/>
      <c r="M401" s="214"/>
      <c r="N401" s="43"/>
      <c r="O401" s="35">
        <v>0</v>
      </c>
      <c r="P401" s="43"/>
      <c r="Q401" s="35">
        <v>0</v>
      </c>
      <c r="R401" s="35">
        <v>0</v>
      </c>
      <c r="S401" s="35">
        <v>0</v>
      </c>
      <c r="T401" s="35">
        <v>0</v>
      </c>
      <c r="U401" s="35">
        <v>0</v>
      </c>
      <c r="V401" s="35">
        <v>0</v>
      </c>
      <c r="W401" s="222"/>
      <c r="X401" s="147"/>
      <c r="Y401" s="147"/>
      <c r="Z401" s="147"/>
      <c r="AA401" s="147"/>
      <c r="AB401" s="119"/>
      <c r="AC401" s="119"/>
      <c r="AD401" s="166"/>
      <c r="AE401" s="166"/>
      <c r="AF401" s="166"/>
      <c r="AG401" s="166"/>
      <c r="AH401" s="166"/>
      <c r="AI401" s="166"/>
      <c r="AJ401" s="166"/>
      <c r="AK401" s="166"/>
      <c r="AL401" s="166"/>
      <c r="AM401" s="166"/>
      <c r="AN401" s="166"/>
      <c r="AO401" s="166"/>
    </row>
    <row r="402" spans="1:42" s="38" customFormat="1">
      <c r="A402" s="18" t="s">
        <v>92</v>
      </c>
      <c r="B402" s="49"/>
      <c r="C402" s="49"/>
      <c r="D402" s="49"/>
      <c r="E402" s="49"/>
      <c r="F402" s="18"/>
      <c r="G402" s="115"/>
      <c r="H402" s="227"/>
      <c r="I402" s="38" t="str">
        <f t="shared" si="251"/>
        <v>Grozdje-terase primorska</v>
      </c>
      <c r="J402" s="17" t="str">
        <f t="shared" ref="J402:J407" si="257">+A402</f>
        <v>Pokoj obvezno</v>
      </c>
      <c r="K402" s="18"/>
      <c r="L402" s="43"/>
      <c r="M402" s="214"/>
      <c r="N402" s="43"/>
      <c r="O402" s="35">
        <v>332.95277004101723</v>
      </c>
      <c r="P402" s="43"/>
      <c r="Q402" s="35">
        <v>350.19624815198864</v>
      </c>
      <c r="R402" s="35">
        <v>338.82324828353092</v>
      </c>
      <c r="S402" s="35">
        <v>332.95277004101723</v>
      </c>
      <c r="T402" s="35">
        <v>327.23610328516452</v>
      </c>
      <c r="U402" s="35">
        <v>357.38395370878851</v>
      </c>
      <c r="V402" s="35">
        <v>308.52158637324595</v>
      </c>
      <c r="W402" s="32"/>
      <c r="X402" s="147"/>
      <c r="Y402" s="147"/>
      <c r="Z402" s="147"/>
      <c r="AA402" s="147"/>
      <c r="AB402" s="119"/>
      <c r="AC402" s="119"/>
      <c r="AD402" s="166"/>
      <c r="AE402" s="166"/>
      <c r="AF402" s="166"/>
      <c r="AG402" s="166"/>
      <c r="AH402" s="166"/>
      <c r="AI402" s="166"/>
      <c r="AJ402" s="166"/>
      <c r="AK402" s="166"/>
      <c r="AL402" s="166"/>
      <c r="AM402" s="166"/>
      <c r="AN402" s="166"/>
      <c r="AO402" s="166"/>
    </row>
    <row r="403" spans="1:42" s="38" customFormat="1">
      <c r="A403" s="18" t="s">
        <v>91</v>
      </c>
      <c r="B403" s="49"/>
      <c r="C403" s="49"/>
      <c r="D403" s="49"/>
      <c r="E403" s="49"/>
      <c r="F403" s="18"/>
      <c r="G403" s="115"/>
      <c r="H403" s="227"/>
      <c r="I403" s="38" t="str">
        <f t="shared" si="251"/>
        <v>Grozdje-terase primorska</v>
      </c>
      <c r="J403" s="17" t="str">
        <f t="shared" si="257"/>
        <v>Zdrav obvezno</v>
      </c>
      <c r="K403" s="18"/>
      <c r="L403" s="42"/>
      <c r="M403" s="219"/>
      <c r="N403" s="42"/>
      <c r="O403" s="35">
        <v>195.26068901115141</v>
      </c>
      <c r="P403" s="42"/>
      <c r="Q403" s="35">
        <v>205.37315456139203</v>
      </c>
      <c r="R403" s="35">
        <v>198.70344044498682</v>
      </c>
      <c r="S403" s="35">
        <v>195.26068901115141</v>
      </c>
      <c r="T403" s="35">
        <v>191.90814057175132</v>
      </c>
      <c r="U403" s="35">
        <v>209.58839607825081</v>
      </c>
      <c r="V403" s="35">
        <v>180.93298194405202</v>
      </c>
      <c r="W403" s="32"/>
      <c r="X403" s="147"/>
      <c r="Y403" s="147"/>
      <c r="Z403" s="147"/>
      <c r="AA403" s="147"/>
      <c r="AB403" s="223"/>
      <c r="AC403" s="223"/>
      <c r="AD403" s="166"/>
      <c r="AE403" s="166"/>
      <c r="AF403" s="166"/>
      <c r="AG403" s="166"/>
      <c r="AH403" s="166"/>
      <c r="AI403" s="166"/>
      <c r="AJ403" s="166"/>
      <c r="AK403" s="166"/>
      <c r="AL403" s="166"/>
      <c r="AM403" s="166"/>
      <c r="AN403" s="166"/>
      <c r="AO403" s="166"/>
    </row>
    <row r="404" spans="1:42" s="38" customFormat="1">
      <c r="A404" s="18" t="s">
        <v>90</v>
      </c>
      <c r="B404" s="49"/>
      <c r="C404" s="49"/>
      <c r="D404" s="49"/>
      <c r="E404" s="49"/>
      <c r="F404" s="18"/>
      <c r="G404" s="115"/>
      <c r="H404" s="227"/>
      <c r="I404" s="38" t="str">
        <f t="shared" si="251"/>
        <v>Grozdje-terase primorska</v>
      </c>
      <c r="J404" s="17" t="str">
        <f t="shared" si="257"/>
        <v>Pokoj dodatno</v>
      </c>
      <c r="K404" s="18"/>
      <c r="L404" s="43"/>
      <c r="M404" s="214"/>
      <c r="N404" s="43"/>
      <c r="O404" s="35">
        <v>265.82218853133156</v>
      </c>
      <c r="P404" s="43"/>
      <c r="Q404" s="35">
        <v>279.58900323236514</v>
      </c>
      <c r="R404" s="35">
        <v>270.50904959561507</v>
      </c>
      <c r="S404" s="35">
        <v>265.82218853133156</v>
      </c>
      <c r="T404" s="35">
        <v>261.25812718425874</v>
      </c>
      <c r="U404" s="35">
        <v>285.32750969198105</v>
      </c>
      <c r="V404" s="35">
        <v>246.31686737068236</v>
      </c>
      <c r="W404" s="201"/>
      <c r="X404" s="147"/>
      <c r="Y404" s="147"/>
      <c r="Z404" s="147"/>
      <c r="AA404" s="147"/>
      <c r="AB404" s="119"/>
      <c r="AC404" s="119"/>
      <c r="AD404" s="166"/>
      <c r="AE404" s="166"/>
      <c r="AF404" s="166"/>
      <c r="AG404" s="166"/>
      <c r="AH404" s="166"/>
      <c r="AI404" s="166"/>
      <c r="AJ404" s="166"/>
      <c r="AK404" s="166"/>
      <c r="AL404" s="166"/>
      <c r="AM404" s="166"/>
      <c r="AN404" s="166"/>
      <c r="AO404" s="166"/>
    </row>
    <row r="405" spans="1:42" s="38" customFormat="1">
      <c r="A405" s="18" t="s">
        <v>89</v>
      </c>
      <c r="B405" s="49"/>
      <c r="C405" s="49"/>
      <c r="D405" s="49"/>
      <c r="E405" s="49"/>
      <c r="F405" s="18"/>
      <c r="G405" s="115"/>
      <c r="H405" s="227"/>
      <c r="I405" s="38" t="str">
        <f t="shared" si="251"/>
        <v>Grozdje-terase primorska</v>
      </c>
      <c r="J405" s="17" t="str">
        <f t="shared" si="257"/>
        <v>Zdrav dodatno</v>
      </c>
      <c r="K405" s="18"/>
      <c r="L405" s="42"/>
      <c r="M405" s="219"/>
      <c r="N405" s="42"/>
      <c r="O405" s="35">
        <v>155.89185120966476</v>
      </c>
      <c r="P405" s="42"/>
      <c r="Q405" s="35">
        <v>163.96542189562572</v>
      </c>
      <c r="R405" s="35">
        <v>158.64046844026709</v>
      </c>
      <c r="S405" s="35">
        <v>155.89185120966476</v>
      </c>
      <c r="T405" s="35">
        <v>153.21525007128454</v>
      </c>
      <c r="U405" s="35">
        <v>167.33077826452302</v>
      </c>
      <c r="V405" s="35">
        <v>144.45292415480654</v>
      </c>
      <c r="W405" s="32"/>
      <c r="X405" s="147"/>
      <c r="Y405" s="147"/>
      <c r="Z405" s="147"/>
      <c r="AA405" s="147"/>
      <c r="AB405" s="223"/>
      <c r="AC405" s="223"/>
      <c r="AD405" s="166"/>
      <c r="AE405" s="166"/>
      <c r="AF405" s="166"/>
      <c r="AG405" s="166"/>
      <c r="AH405" s="166"/>
      <c r="AI405" s="166"/>
      <c r="AJ405" s="166"/>
      <c r="AK405" s="166"/>
      <c r="AL405" s="166"/>
      <c r="AM405" s="166"/>
      <c r="AN405" s="166"/>
      <c r="AO405" s="166"/>
    </row>
    <row r="406" spans="1:42" s="38" customFormat="1">
      <c r="A406" s="18" t="s">
        <v>88</v>
      </c>
      <c r="B406" s="49"/>
      <c r="C406" s="49"/>
      <c r="D406" s="49"/>
      <c r="E406" s="49"/>
      <c r="F406" s="18"/>
      <c r="G406" s="115"/>
      <c r="H406" s="227"/>
      <c r="I406" s="38" t="str">
        <f t="shared" si="251"/>
        <v>Grozdje-terase primorska</v>
      </c>
      <c r="J406" s="17" t="str">
        <f t="shared" si="257"/>
        <v>Regresi</v>
      </c>
      <c r="K406" s="18"/>
      <c r="L406" s="43"/>
      <c r="M406" s="214"/>
      <c r="N406" s="43"/>
      <c r="O406" s="35">
        <v>798.92922070507268</v>
      </c>
      <c r="P406" s="43"/>
      <c r="Q406" s="35">
        <v>840.30541507566227</v>
      </c>
      <c r="R406" s="35">
        <v>813.01559279586422</v>
      </c>
      <c r="S406" s="35">
        <v>798.92922070507268</v>
      </c>
      <c r="T406" s="35">
        <v>785.21192345681322</v>
      </c>
      <c r="U406" s="35">
        <v>857.55250990669265</v>
      </c>
      <c r="V406" s="35">
        <v>740.30593150345294</v>
      </c>
      <c r="W406" s="201"/>
      <c r="X406" s="147"/>
      <c r="Y406" s="147"/>
      <c r="Z406" s="147"/>
      <c r="AA406" s="147"/>
      <c r="AB406" s="119"/>
      <c r="AC406" s="119"/>
      <c r="AD406" s="166"/>
      <c r="AE406" s="166"/>
      <c r="AF406" s="166"/>
      <c r="AG406" s="166"/>
      <c r="AH406" s="166"/>
      <c r="AI406" s="166"/>
      <c r="AJ406" s="166"/>
      <c r="AK406" s="166"/>
      <c r="AL406" s="166"/>
      <c r="AM406" s="166"/>
      <c r="AN406" s="166"/>
      <c r="AO406" s="166"/>
    </row>
    <row r="407" spans="1:42" s="38" customFormat="1">
      <c r="A407" s="49" t="s">
        <v>13</v>
      </c>
      <c r="B407" s="49"/>
      <c r="C407" s="49"/>
      <c r="D407" s="49"/>
      <c r="E407" s="49"/>
      <c r="F407" s="18"/>
      <c r="G407" s="115"/>
      <c r="H407" s="227"/>
      <c r="I407" s="38" t="str">
        <f t="shared" si="251"/>
        <v>Grozdje-terase primorska</v>
      </c>
      <c r="J407" s="17" t="str">
        <f t="shared" si="257"/>
        <v>SUM element</v>
      </c>
      <c r="K407" s="18"/>
      <c r="L407" s="62"/>
      <c r="M407" s="167"/>
      <c r="N407" s="62"/>
      <c r="O407" s="159">
        <v>11031.918850455109</v>
      </c>
      <c r="P407" s="159"/>
      <c r="Q407" s="159">
        <v>11657.822396282152</v>
      </c>
      <c r="R407" s="159">
        <v>11253.227320389964</v>
      </c>
      <c r="S407" s="159">
        <v>11031.918850455109</v>
      </c>
      <c r="T407" s="159">
        <v>10810.324404336112</v>
      </c>
      <c r="U407" s="159">
        <v>11492.185664673438</v>
      </c>
      <c r="V407" s="159">
        <v>10571.652036236785</v>
      </c>
      <c r="W407" s="201"/>
      <c r="X407" s="147"/>
      <c r="Y407" s="147"/>
      <c r="Z407" s="147"/>
      <c r="AA407" s="147"/>
      <c r="AB407" s="119"/>
      <c r="AC407" s="119"/>
      <c r="AD407" s="166"/>
      <c r="AE407" s="166"/>
      <c r="AF407" s="166"/>
      <c r="AG407" s="166"/>
      <c r="AH407" s="166"/>
      <c r="AI407" s="166"/>
      <c r="AJ407" s="166"/>
      <c r="AK407" s="166"/>
      <c r="AL407" s="166"/>
      <c r="AM407" s="166"/>
      <c r="AN407" s="166"/>
      <c r="AO407" s="166"/>
    </row>
    <row r="408" spans="1:42" s="38" customFormat="1">
      <c r="A408" s="49" t="s">
        <v>3</v>
      </c>
      <c r="B408" s="49" t="s">
        <v>0</v>
      </c>
      <c r="C408" s="49" t="s">
        <v>2</v>
      </c>
      <c r="D408" s="49" t="s">
        <v>1</v>
      </c>
      <c r="E408" s="49" t="s">
        <v>0</v>
      </c>
      <c r="F408" s="18"/>
      <c r="G408" s="115"/>
      <c r="H408" s="227"/>
      <c r="I408" s="38" t="str">
        <f t="shared" si="251"/>
        <v>Grozdje-terase primorska</v>
      </c>
      <c r="J408" s="106" t="str">
        <f t="shared" ref="J408" si="258">+J371</f>
        <v>Subvencije</v>
      </c>
      <c r="K408" s="18"/>
      <c r="L408" s="62"/>
      <c r="M408" s="167"/>
      <c r="N408" s="62"/>
      <c r="O408" s="183">
        <v>23.94</v>
      </c>
      <c r="P408" s="183"/>
      <c r="Q408" s="183">
        <v>23.94</v>
      </c>
      <c r="R408" s="183">
        <v>23.94</v>
      </c>
      <c r="S408" s="183">
        <v>23.94</v>
      </c>
      <c r="T408" s="183">
        <v>23.94</v>
      </c>
      <c r="U408" s="183">
        <v>23.94</v>
      </c>
      <c r="V408" s="183">
        <v>23.94</v>
      </c>
      <c r="W408" s="201"/>
      <c r="X408" s="147"/>
      <c r="Y408" s="147"/>
      <c r="Z408" s="147"/>
      <c r="AA408" s="147"/>
      <c r="AB408" s="119"/>
      <c r="AC408" s="119"/>
      <c r="AD408" s="166"/>
      <c r="AE408" s="166"/>
      <c r="AF408" s="166"/>
      <c r="AG408" s="166"/>
      <c r="AH408" s="166"/>
      <c r="AI408" s="166"/>
      <c r="AJ408" s="166"/>
      <c r="AK408" s="166"/>
      <c r="AL408" s="166"/>
      <c r="AM408" s="166"/>
      <c r="AN408" s="166"/>
      <c r="AO408" s="166"/>
    </row>
    <row r="409" spans="1:42" s="38" customFormat="1" ht="39" customHeight="1">
      <c r="A409" s="112" t="s">
        <v>14</v>
      </c>
      <c r="B409" s="49"/>
      <c r="C409" s="49"/>
      <c r="D409" s="49"/>
      <c r="E409" s="49"/>
      <c r="F409" s="18"/>
      <c r="G409" s="115"/>
      <c r="H409" s="227"/>
      <c r="I409" s="38" t="str">
        <f t="shared" si="251"/>
        <v>Grozdje-terase primorska</v>
      </c>
      <c r="J409" s="198" t="str">
        <f>+J372</f>
        <v>Vrednost pridelave_tržna</v>
      </c>
      <c r="K409" s="18"/>
      <c r="L409" s="62"/>
      <c r="M409" s="167"/>
      <c r="N409" s="62"/>
      <c r="O409" s="183">
        <v>8037</v>
      </c>
      <c r="P409" s="183"/>
      <c r="Q409" s="183">
        <v>10716</v>
      </c>
      <c r="R409" s="183">
        <v>8930</v>
      </c>
      <c r="S409" s="183">
        <v>8037</v>
      </c>
      <c r="T409" s="183">
        <v>7144</v>
      </c>
      <c r="U409" s="183">
        <v>8037</v>
      </c>
      <c r="V409" s="183">
        <v>8037</v>
      </c>
      <c r="W409" s="201"/>
      <c r="X409" s="147"/>
      <c r="Y409" s="147"/>
      <c r="Z409" s="147"/>
      <c r="AA409" s="147"/>
      <c r="AB409" s="119"/>
      <c r="AC409" s="119"/>
      <c r="AD409" s="166"/>
      <c r="AE409" s="166"/>
      <c r="AF409" s="166"/>
      <c r="AG409" s="166"/>
      <c r="AH409" s="166"/>
      <c r="AI409" s="166"/>
      <c r="AJ409" s="166"/>
      <c r="AK409" s="166"/>
      <c r="AL409" s="166"/>
      <c r="AM409" s="166"/>
      <c r="AN409" s="166"/>
      <c r="AO409" s="166"/>
    </row>
    <row r="410" spans="1:42" s="38" customFormat="1">
      <c r="A410" s="49"/>
      <c r="B410" s="49"/>
      <c r="C410" s="49"/>
      <c r="D410" s="49"/>
      <c r="E410" s="49"/>
      <c r="F410" s="18"/>
      <c r="G410" s="51"/>
      <c r="H410" s="230"/>
      <c r="J410" s="21"/>
      <c r="K410" s="46"/>
      <c r="L410" s="185"/>
      <c r="M410" s="186"/>
      <c r="N410" s="179"/>
      <c r="O410" s="187">
        <f>+O395-O408-O396</f>
        <v>11007.978850455111</v>
      </c>
      <c r="P410" s="62" t="s">
        <v>87</v>
      </c>
      <c r="Q410" s="187">
        <f t="shared" ref="Q410:V410" si="259">+Q395-Q408-Q396</f>
        <v>11633.882396282148</v>
      </c>
      <c r="R410" s="187">
        <f t="shared" si="259"/>
        <v>11229.287320389965</v>
      </c>
      <c r="S410" s="187">
        <f t="shared" si="259"/>
        <v>11007.978850455111</v>
      </c>
      <c r="T410" s="187">
        <f t="shared" si="259"/>
        <v>10786.384404336113</v>
      </c>
      <c r="U410" s="187">
        <f t="shared" si="259"/>
        <v>11468.245664673437</v>
      </c>
      <c r="V410" s="187">
        <f t="shared" si="259"/>
        <v>10547.712036236788</v>
      </c>
      <c r="W410" s="201"/>
      <c r="X410" s="147"/>
      <c r="Y410" s="147"/>
      <c r="Z410" s="147"/>
      <c r="AA410" s="147"/>
      <c r="AB410" s="208"/>
      <c r="AC410" s="208"/>
      <c r="AD410" s="166"/>
      <c r="AE410" s="166"/>
      <c r="AF410" s="166"/>
      <c r="AG410" s="166"/>
      <c r="AH410" s="166"/>
      <c r="AI410" s="166"/>
      <c r="AJ410" s="166"/>
      <c r="AK410" s="166"/>
      <c r="AL410" s="166"/>
      <c r="AM410" s="166"/>
      <c r="AN410" s="166"/>
      <c r="AO410" s="166"/>
      <c r="AP410" s="21"/>
    </row>
    <row r="411" spans="1:42" s="38" customFormat="1">
      <c r="A411" s="49"/>
      <c r="B411" s="49"/>
      <c r="C411" s="49"/>
      <c r="D411" s="49"/>
      <c r="E411" s="49"/>
      <c r="F411" s="18"/>
      <c r="G411" s="46"/>
      <c r="H411" s="230"/>
      <c r="J411" s="21"/>
      <c r="K411" s="46"/>
      <c r="L411" s="185"/>
      <c r="M411" s="186"/>
      <c r="N411" s="179"/>
      <c r="O411" s="187">
        <f>O410-O402-O403</f>
        <v>10479.765391402942</v>
      </c>
      <c r="P411" s="62" t="s">
        <v>86</v>
      </c>
      <c r="Q411" s="187">
        <f t="shared" ref="Q411:V411" si="260">Q410-Q402-Q403</f>
        <v>11078.312993568767</v>
      </c>
      <c r="R411" s="187">
        <f t="shared" si="260"/>
        <v>10691.760631661449</v>
      </c>
      <c r="S411" s="187">
        <f t="shared" si="260"/>
        <v>10479.765391402942</v>
      </c>
      <c r="T411" s="187">
        <f t="shared" si="260"/>
        <v>10267.240160479198</v>
      </c>
      <c r="U411" s="187">
        <f t="shared" si="260"/>
        <v>10901.273314886399</v>
      </c>
      <c r="V411" s="187">
        <f t="shared" si="260"/>
        <v>10058.257467919489</v>
      </c>
      <c r="W411" s="211"/>
      <c r="X411" s="179"/>
      <c r="Y411" s="179"/>
      <c r="Z411" s="179"/>
      <c r="AA411" s="179"/>
      <c r="AB411" s="208"/>
      <c r="AC411" s="208"/>
      <c r="AD411" s="166"/>
      <c r="AE411" s="166"/>
      <c r="AF411" s="166"/>
      <c r="AG411" s="166"/>
      <c r="AH411" s="166"/>
      <c r="AI411" s="166"/>
      <c r="AJ411" s="166"/>
      <c r="AK411" s="166"/>
      <c r="AL411" s="166"/>
      <c r="AM411" s="166"/>
      <c r="AN411" s="166"/>
      <c r="AO411" s="166"/>
      <c r="AP411" s="18"/>
    </row>
    <row r="412" spans="1:42" s="38" customFormat="1">
      <c r="A412" s="49"/>
      <c r="B412" s="49"/>
      <c r="C412" s="49"/>
      <c r="D412" s="49"/>
      <c r="E412" s="49"/>
      <c r="F412" s="18"/>
      <c r="G412" s="17"/>
      <c r="H412" s="231"/>
      <c r="J412" s="17"/>
      <c r="K412" s="18"/>
      <c r="L412" s="164"/>
      <c r="M412" s="165"/>
      <c r="N412" s="179"/>
      <c r="O412" s="187">
        <f>O411-O404-O405-O406</f>
        <v>9259.1221309568718</v>
      </c>
      <c r="P412" s="62" t="s">
        <v>85</v>
      </c>
      <c r="Q412" s="187">
        <f t="shared" ref="Q412:V412" si="261">Q411-Q404-Q405-Q406</f>
        <v>9794.4531533651134</v>
      </c>
      <c r="R412" s="187">
        <f t="shared" si="261"/>
        <v>9449.5955208297019</v>
      </c>
      <c r="S412" s="187">
        <f t="shared" si="261"/>
        <v>9259.1221309568718</v>
      </c>
      <c r="T412" s="187">
        <f t="shared" si="261"/>
        <v>9067.5548597668421</v>
      </c>
      <c r="U412" s="187">
        <f t="shared" si="261"/>
        <v>9591.0625170232033</v>
      </c>
      <c r="V412" s="187">
        <f t="shared" si="261"/>
        <v>8927.1817448905476</v>
      </c>
      <c r="W412" s="211"/>
      <c r="X412" s="179"/>
      <c r="Y412" s="179"/>
      <c r="Z412" s="179"/>
      <c r="AA412" s="179"/>
      <c r="AB412" s="223"/>
      <c r="AC412" s="223"/>
      <c r="AD412" s="166"/>
      <c r="AE412" s="166"/>
      <c r="AF412" s="166"/>
      <c r="AG412" s="166"/>
      <c r="AH412" s="166"/>
      <c r="AI412" s="166"/>
      <c r="AJ412" s="166"/>
      <c r="AK412" s="166"/>
      <c r="AL412" s="166"/>
      <c r="AM412" s="166"/>
      <c r="AN412" s="166"/>
      <c r="AO412" s="166"/>
      <c r="AP412" s="18"/>
    </row>
    <row r="413" spans="1:42" s="38" customFormat="1">
      <c r="A413" s="49"/>
      <c r="B413" s="49"/>
      <c r="C413" s="49"/>
      <c r="D413" s="49"/>
      <c r="E413" s="49"/>
      <c r="F413" s="18"/>
      <c r="G413" s="18"/>
      <c r="H413" s="34"/>
      <c r="J413" s="18"/>
      <c r="K413" s="18"/>
      <c r="L413" s="62"/>
      <c r="M413" s="167"/>
      <c r="N413" s="62"/>
      <c r="O413" s="189"/>
      <c r="P413" s="184"/>
      <c r="Q413" s="189"/>
      <c r="R413" s="189"/>
      <c r="S413" s="189"/>
      <c r="T413" s="189"/>
      <c r="U413" s="189"/>
      <c r="V413" s="189"/>
      <c r="W413" s="211"/>
      <c r="X413" s="164"/>
      <c r="Y413" s="164"/>
      <c r="Z413" s="164"/>
      <c r="AA413" s="164"/>
      <c r="AB413" s="119"/>
      <c r="AC413" s="119"/>
      <c r="AD413" s="166"/>
      <c r="AE413" s="166"/>
      <c r="AF413" s="166"/>
      <c r="AG413" s="166"/>
      <c r="AH413" s="166"/>
      <c r="AI413" s="166"/>
      <c r="AJ413" s="166"/>
      <c r="AK413" s="166"/>
      <c r="AL413" s="166"/>
      <c r="AM413" s="166"/>
      <c r="AN413" s="166"/>
      <c r="AO413" s="166"/>
      <c r="AP413" s="18"/>
    </row>
    <row r="414" spans="1:42" s="38" customFormat="1">
      <c r="A414" s="49"/>
      <c r="B414" s="49"/>
      <c r="C414" s="49"/>
      <c r="D414" s="49"/>
      <c r="E414" s="49"/>
      <c r="F414" s="18"/>
      <c r="G414" s="18"/>
      <c r="H414" s="34"/>
      <c r="J414" s="17"/>
      <c r="K414" s="18"/>
      <c r="L414" s="62"/>
      <c r="M414" s="167"/>
      <c r="N414" s="62"/>
      <c r="O414" s="192" t="str">
        <f>O393&amp;";"&amp;O392</f>
        <v>4000;2,25</v>
      </c>
      <c r="P414" s="212"/>
      <c r="Q414" s="192" t="str">
        <f t="shared" ref="Q414:V414" si="262">Q393&amp;";"&amp;Q392</f>
        <v>4000;3</v>
      </c>
      <c r="R414" s="192" t="str">
        <f t="shared" si="262"/>
        <v>4000;2,5</v>
      </c>
      <c r="S414" s="192" t="str">
        <f t="shared" si="262"/>
        <v>4000;2,25</v>
      </c>
      <c r="T414" s="192" t="str">
        <f t="shared" si="262"/>
        <v>4000;2</v>
      </c>
      <c r="U414" s="192" t="str">
        <f t="shared" si="262"/>
        <v>4500;2</v>
      </c>
      <c r="V414" s="192" t="str">
        <f t="shared" si="262"/>
        <v>3500;2,57</v>
      </c>
      <c r="W414" s="32"/>
      <c r="X414" s="62"/>
      <c r="Y414" s="62"/>
      <c r="Z414" s="62"/>
      <c r="AA414" s="62"/>
      <c r="AB414" s="119"/>
      <c r="AC414" s="119"/>
      <c r="AD414" s="166"/>
      <c r="AE414" s="166"/>
      <c r="AF414" s="166"/>
      <c r="AG414" s="166"/>
      <c r="AH414" s="166"/>
      <c r="AI414" s="166"/>
      <c r="AJ414" s="166"/>
      <c r="AK414" s="166"/>
      <c r="AL414" s="166"/>
      <c r="AM414" s="166"/>
      <c r="AN414" s="166"/>
      <c r="AO414" s="166"/>
      <c r="AP414" s="18"/>
    </row>
    <row r="415" spans="1:42" s="38" customFormat="1">
      <c r="A415" s="49"/>
      <c r="B415" s="49"/>
      <c r="C415" s="49"/>
      <c r="D415" s="49"/>
      <c r="E415" s="49"/>
      <c r="F415" s="18"/>
      <c r="G415" s="18"/>
      <c r="H415" s="34"/>
      <c r="J415" s="18"/>
      <c r="K415" s="18"/>
      <c r="L415" s="62"/>
      <c r="M415" s="167"/>
      <c r="N415" s="62"/>
      <c r="O415" s="194">
        <f>+O410/O391*1000</f>
        <v>1223.1087611616788</v>
      </c>
      <c r="P415" s="180" t="s">
        <v>84</v>
      </c>
      <c r="Q415" s="194">
        <f t="shared" ref="Q415:V415" si="263">+Q410/Q391*1000</f>
        <v>969.490199690179</v>
      </c>
      <c r="R415" s="194">
        <f t="shared" si="263"/>
        <v>1122.9287320389965</v>
      </c>
      <c r="S415" s="194">
        <f t="shared" si="263"/>
        <v>1223.1087611616788</v>
      </c>
      <c r="T415" s="194">
        <f t="shared" si="263"/>
        <v>1348.2980505420142</v>
      </c>
      <c r="U415" s="194">
        <f t="shared" si="263"/>
        <v>1274.2495182970486</v>
      </c>
      <c r="V415" s="194">
        <f t="shared" si="263"/>
        <v>1171.9680040263099</v>
      </c>
      <c r="W415" s="32"/>
      <c r="X415" s="62"/>
      <c r="Y415" s="62"/>
      <c r="Z415" s="62"/>
      <c r="AA415" s="62"/>
      <c r="AB415" s="119"/>
      <c r="AC415" s="119"/>
      <c r="AD415" s="166"/>
      <c r="AE415" s="166"/>
      <c r="AF415" s="166"/>
      <c r="AG415" s="166"/>
      <c r="AH415" s="166"/>
      <c r="AI415" s="166"/>
      <c r="AJ415" s="166"/>
      <c r="AK415" s="166"/>
      <c r="AL415" s="166"/>
      <c r="AM415" s="166"/>
      <c r="AN415" s="166"/>
      <c r="AO415" s="166"/>
      <c r="AP415" s="18"/>
    </row>
    <row r="416" spans="1:42" s="38" customFormat="1">
      <c r="A416" s="49"/>
      <c r="B416" s="49"/>
      <c r="C416" s="49"/>
      <c r="D416" s="49"/>
      <c r="E416" s="49"/>
      <c r="F416" s="18"/>
      <c r="G416" s="18"/>
      <c r="H416" s="34"/>
      <c r="J416" s="18"/>
      <c r="K416" s="18"/>
      <c r="L416" s="62"/>
      <c r="M416" s="167"/>
      <c r="N416" s="62"/>
      <c r="O416" s="194">
        <f>+O415*O411/O410</f>
        <v>1164.4183768225489</v>
      </c>
      <c r="P416" s="180" t="s">
        <v>83</v>
      </c>
      <c r="Q416" s="194">
        <f t="shared" ref="Q416:V416" si="264">+Q415*Q411/Q410</f>
        <v>923.19274946406392</v>
      </c>
      <c r="R416" s="194">
        <f t="shared" si="264"/>
        <v>1069.176063166145</v>
      </c>
      <c r="S416" s="194">
        <f t="shared" si="264"/>
        <v>1164.4183768225489</v>
      </c>
      <c r="T416" s="194">
        <f t="shared" si="264"/>
        <v>1283.4050200598997</v>
      </c>
      <c r="U416" s="194">
        <f t="shared" si="264"/>
        <v>1211.2525905429331</v>
      </c>
      <c r="V416" s="194">
        <f t="shared" si="264"/>
        <v>1117.5841631021656</v>
      </c>
      <c r="W416" s="32"/>
      <c r="X416" s="62"/>
      <c r="Y416" s="62"/>
      <c r="Z416" s="62"/>
      <c r="AA416" s="62"/>
      <c r="AB416" s="119"/>
      <c r="AC416" s="119"/>
      <c r="AD416" s="166"/>
      <c r="AE416" s="166"/>
      <c r="AF416" s="166"/>
      <c r="AG416" s="166"/>
      <c r="AH416" s="166"/>
      <c r="AI416" s="166"/>
      <c r="AJ416" s="166"/>
      <c r="AK416" s="166"/>
      <c r="AL416" s="166"/>
      <c r="AM416" s="166"/>
      <c r="AN416" s="166"/>
      <c r="AO416" s="166"/>
      <c r="AP416" s="18"/>
    </row>
    <row r="417" spans="1:42" s="38" customFormat="1">
      <c r="A417" s="49"/>
      <c r="B417" s="49"/>
      <c r="C417" s="49"/>
      <c r="D417" s="49"/>
      <c r="E417" s="49"/>
      <c r="F417" s="18"/>
      <c r="G417" s="18"/>
      <c r="H417" s="34"/>
      <c r="J417" s="18"/>
      <c r="K417" s="18"/>
      <c r="L417" s="62"/>
      <c r="M417" s="167"/>
      <c r="N417" s="62"/>
      <c r="O417" s="194">
        <f>+O415*O412/O410</f>
        <v>1028.7913478840967</v>
      </c>
      <c r="P417" s="180" t="s">
        <v>82</v>
      </c>
      <c r="Q417" s="194">
        <f t="shared" ref="Q417:V417" si="265">+Q415*Q412/Q410</f>
        <v>816.20442944709282</v>
      </c>
      <c r="R417" s="194">
        <f t="shared" si="265"/>
        <v>944.95955208297005</v>
      </c>
      <c r="S417" s="194">
        <f t="shared" si="265"/>
        <v>1028.7913478840967</v>
      </c>
      <c r="T417" s="194">
        <f t="shared" si="265"/>
        <v>1133.4443574708553</v>
      </c>
      <c r="U417" s="194">
        <f t="shared" si="265"/>
        <v>1065.6736130025781</v>
      </c>
      <c r="V417" s="194">
        <f t="shared" si="265"/>
        <v>991.90908276561652</v>
      </c>
      <c r="W417" s="32"/>
      <c r="X417" s="62"/>
      <c r="Y417" s="62"/>
      <c r="Z417" s="62"/>
      <c r="AA417" s="62"/>
      <c r="AB417" s="119"/>
      <c r="AC417" s="119"/>
      <c r="AD417" s="166"/>
      <c r="AE417" s="166"/>
      <c r="AF417" s="166"/>
      <c r="AG417" s="166"/>
      <c r="AH417" s="166"/>
      <c r="AI417" s="166"/>
      <c r="AJ417" s="166"/>
      <c r="AK417" s="166"/>
      <c r="AL417" s="166"/>
      <c r="AM417" s="166"/>
      <c r="AN417" s="166"/>
      <c r="AO417" s="166"/>
      <c r="AP417" s="18"/>
    </row>
    <row r="418" spans="1:42" s="38" customFormat="1">
      <c r="A418" s="49"/>
      <c r="B418" s="49"/>
      <c r="C418" s="49"/>
      <c r="D418" s="49"/>
      <c r="E418" s="49"/>
      <c r="F418" s="18"/>
      <c r="G418" s="18"/>
      <c r="H418" s="34"/>
      <c r="J418" s="18"/>
      <c r="K418" s="18"/>
      <c r="L418" s="62"/>
      <c r="M418" s="167"/>
      <c r="N418" s="62"/>
      <c r="O418" s="194">
        <f>+O415-O417</f>
        <v>194.31741327758209</v>
      </c>
      <c r="P418" s="180" t="s">
        <v>81</v>
      </c>
      <c r="Q418" s="194">
        <f t="shared" ref="Q418:V418" si="266">+Q415-Q417</f>
        <v>153.28577024308618</v>
      </c>
      <c r="R418" s="194">
        <f t="shared" si="266"/>
        <v>177.96917995602644</v>
      </c>
      <c r="S418" s="194">
        <f t="shared" si="266"/>
        <v>194.31741327758209</v>
      </c>
      <c r="T418" s="194">
        <f t="shared" si="266"/>
        <v>214.85369307115889</v>
      </c>
      <c r="U418" s="194">
        <f t="shared" si="266"/>
        <v>208.57590529447043</v>
      </c>
      <c r="V418" s="194">
        <f t="shared" si="266"/>
        <v>180.05892126069341</v>
      </c>
      <c r="W418" s="32"/>
      <c r="X418" s="62"/>
      <c r="Y418" s="62"/>
      <c r="Z418" s="62"/>
      <c r="AA418" s="62"/>
      <c r="AB418" s="119"/>
      <c r="AC418" s="119"/>
      <c r="AD418" s="166"/>
      <c r="AE418" s="166"/>
      <c r="AF418" s="166"/>
      <c r="AG418" s="166"/>
      <c r="AH418" s="166"/>
      <c r="AI418" s="166"/>
      <c r="AJ418" s="166"/>
      <c r="AK418" s="166"/>
      <c r="AL418" s="166"/>
      <c r="AM418" s="166"/>
      <c r="AN418" s="166"/>
      <c r="AO418" s="166"/>
      <c r="AP418" s="18"/>
    </row>
    <row r="419" spans="1:42" s="38" customFormat="1">
      <c r="A419" s="49"/>
      <c r="B419" s="49"/>
      <c r="C419" s="49"/>
      <c r="D419" s="49"/>
      <c r="E419" s="49"/>
      <c r="F419" s="18"/>
      <c r="G419" s="17"/>
      <c r="H419" s="231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32"/>
      <c r="X419" s="62"/>
      <c r="Y419" s="62"/>
      <c r="Z419" s="62"/>
      <c r="AA419" s="62"/>
      <c r="AB419" s="223"/>
      <c r="AC419" s="223"/>
      <c r="AD419" s="166"/>
      <c r="AE419" s="166"/>
      <c r="AF419" s="166"/>
      <c r="AG419" s="166"/>
      <c r="AH419" s="166"/>
      <c r="AI419" s="166"/>
      <c r="AJ419" s="166"/>
      <c r="AK419" s="166"/>
      <c r="AL419" s="166"/>
      <c r="AM419" s="166"/>
      <c r="AN419" s="166"/>
      <c r="AO419" s="166"/>
      <c r="AP419" s="17"/>
    </row>
    <row r="420" spans="1:42" s="38" customFormat="1">
      <c r="A420" s="49" t="s">
        <v>15</v>
      </c>
      <c r="B420" s="49"/>
      <c r="C420" s="49"/>
      <c r="D420" s="49"/>
      <c r="E420" s="49"/>
      <c r="F420" s="18">
        <v>1000</v>
      </c>
      <c r="G420" s="18"/>
      <c r="H420" s="34"/>
      <c r="J420" s="196" t="s">
        <v>185</v>
      </c>
      <c r="K420" s="18"/>
      <c r="L420" s="62"/>
      <c r="M420" s="167"/>
      <c r="N420" s="213"/>
      <c r="O420" s="197">
        <v>893</v>
      </c>
      <c r="P420" s="196" t="str">
        <f>J420</f>
        <v>Odkupna cena; ocena KIS</v>
      </c>
      <c r="Q420" s="197">
        <v>893</v>
      </c>
      <c r="R420" s="197">
        <v>893</v>
      </c>
      <c r="S420" s="197">
        <v>893</v>
      </c>
      <c r="T420" s="197">
        <v>893</v>
      </c>
      <c r="U420" s="197">
        <v>893</v>
      </c>
      <c r="V420" s="197">
        <v>893</v>
      </c>
      <c r="W420" s="201"/>
      <c r="X420" s="164"/>
      <c r="Y420" s="164"/>
      <c r="Z420" s="164"/>
      <c r="AA420" s="164"/>
      <c r="AB420" s="119"/>
      <c r="AC420" s="119"/>
      <c r="AD420" s="166"/>
      <c r="AE420" s="166"/>
      <c r="AF420" s="166"/>
      <c r="AG420" s="166"/>
      <c r="AH420" s="166"/>
      <c r="AI420" s="166"/>
      <c r="AJ420" s="166"/>
      <c r="AK420" s="166"/>
      <c r="AL420" s="166"/>
      <c r="AM420" s="166"/>
      <c r="AN420" s="166"/>
      <c r="AO420" s="166"/>
      <c r="AP420" s="18"/>
    </row>
    <row r="421" spans="1:42" s="38" customFormat="1">
      <c r="A421" s="49"/>
      <c r="B421" s="49"/>
      <c r="C421" s="49"/>
      <c r="D421" s="49"/>
      <c r="E421" s="49"/>
      <c r="F421" s="18"/>
      <c r="G421" s="17"/>
      <c r="H421" s="231"/>
      <c r="J421" s="198" t="str">
        <f>+J384</f>
        <v>Bruto dodana vrednost</v>
      </c>
      <c r="K421" s="18"/>
      <c r="L421" s="164"/>
      <c r="M421" s="165"/>
      <c r="N421" s="164"/>
      <c r="O421" s="199">
        <f>O409+O408+O396-O394</f>
        <v>3963.4952109176684</v>
      </c>
      <c r="P421" s="195"/>
      <c r="Q421" s="199">
        <f t="shared" ref="Q421:V421" si="267">Q409+Q408+Q396-Q394</f>
        <v>6261.4380923048802</v>
      </c>
      <c r="R421" s="199">
        <f t="shared" si="267"/>
        <v>4718.822943926787</v>
      </c>
      <c r="S421" s="199">
        <f t="shared" si="267"/>
        <v>3963.4952109176684</v>
      </c>
      <c r="T421" s="199">
        <f t="shared" si="267"/>
        <v>3210.8534942460105</v>
      </c>
      <c r="U421" s="199">
        <f t="shared" si="267"/>
        <v>3886.2036208373374</v>
      </c>
      <c r="V421" s="199">
        <f t="shared" si="267"/>
        <v>4040.7868009979929</v>
      </c>
      <c r="W421" s="32"/>
      <c r="X421" s="62"/>
      <c r="Y421" s="62"/>
      <c r="Z421" s="62"/>
      <c r="AA421" s="62"/>
      <c r="AB421" s="223"/>
      <c r="AC421" s="223"/>
      <c r="AD421" s="166"/>
      <c r="AE421" s="166"/>
      <c r="AF421" s="166"/>
      <c r="AG421" s="166"/>
      <c r="AH421" s="166"/>
      <c r="AI421" s="166"/>
      <c r="AJ421" s="166"/>
      <c r="AK421" s="166"/>
      <c r="AL421" s="166"/>
      <c r="AM421" s="166"/>
      <c r="AN421" s="166"/>
      <c r="AO421" s="166"/>
    </row>
    <row r="422" spans="1:42" s="38" customFormat="1">
      <c r="A422" s="112" t="s">
        <v>11</v>
      </c>
      <c r="B422" s="49"/>
      <c r="C422" s="49"/>
      <c r="D422" s="49"/>
      <c r="E422" s="49"/>
      <c r="F422" s="18"/>
      <c r="G422" s="62"/>
      <c r="H422" s="34"/>
      <c r="J422" s="182" t="s">
        <v>11</v>
      </c>
      <c r="K422" s="46"/>
      <c r="L422" s="62"/>
      <c r="M422" s="167"/>
      <c r="N422" s="62"/>
      <c r="O422" s="35">
        <v>2264.8859096753981</v>
      </c>
      <c r="P422" s="42"/>
      <c r="Q422" s="35">
        <v>2307.5787671190437</v>
      </c>
      <c r="R422" s="35">
        <v>2279.5515118100993</v>
      </c>
      <c r="S422" s="35">
        <v>2264.8859096753981</v>
      </c>
      <c r="T422" s="35">
        <v>2250.7512011707495</v>
      </c>
      <c r="U422" s="35">
        <v>2338.2675763420648</v>
      </c>
      <c r="V422" s="35">
        <v>2191.5042430087315</v>
      </c>
      <c r="W422" s="201"/>
      <c r="X422" s="164"/>
      <c r="Y422" s="164"/>
      <c r="Z422" s="164"/>
      <c r="AA422" s="164"/>
      <c r="AB422" s="119"/>
      <c r="AC422" s="119"/>
      <c r="AD422" s="166"/>
      <c r="AE422" s="166"/>
      <c r="AF422" s="166"/>
      <c r="AG422" s="166"/>
      <c r="AH422" s="166"/>
      <c r="AI422" s="166"/>
      <c r="AJ422" s="166"/>
      <c r="AK422" s="166"/>
      <c r="AL422" s="166"/>
      <c r="AM422" s="166"/>
      <c r="AN422" s="166"/>
      <c r="AO422" s="166"/>
    </row>
    <row r="423" spans="1:42" s="38" customFormat="1">
      <c r="A423" s="49"/>
      <c r="B423" s="49"/>
      <c r="C423" s="49"/>
      <c r="D423" s="49"/>
      <c r="E423" s="49"/>
      <c r="G423" s="119"/>
      <c r="H423" s="47"/>
      <c r="J423" s="18" t="s">
        <v>157</v>
      </c>
      <c r="K423" s="46"/>
      <c r="L423" s="62"/>
      <c r="M423" s="167"/>
      <c r="N423" s="62"/>
      <c r="O423" s="220">
        <f>+O421-O422</f>
        <v>1698.6093012422702</v>
      </c>
      <c r="P423" s="42"/>
      <c r="Q423" s="220">
        <f t="shared" ref="Q423:V423" si="268">+Q421-Q422</f>
        <v>3953.8593251858365</v>
      </c>
      <c r="R423" s="220">
        <f t="shared" si="268"/>
        <v>2439.2714321166877</v>
      </c>
      <c r="S423" s="220">
        <f t="shared" si="268"/>
        <v>1698.6093012422702</v>
      </c>
      <c r="T423" s="220">
        <f t="shared" si="268"/>
        <v>960.10229307526106</v>
      </c>
      <c r="U423" s="220">
        <f t="shared" si="268"/>
        <v>1547.9360444952727</v>
      </c>
      <c r="V423" s="220">
        <f t="shared" si="268"/>
        <v>1849.2825579892615</v>
      </c>
      <c r="W423" s="201"/>
      <c r="X423" s="164"/>
      <c r="Y423" s="164"/>
      <c r="Z423" s="164"/>
      <c r="AA423" s="164"/>
      <c r="AB423" s="119"/>
      <c r="AC423" s="119"/>
      <c r="AD423" s="166"/>
      <c r="AE423" s="166"/>
      <c r="AF423" s="166"/>
      <c r="AG423" s="166"/>
      <c r="AH423" s="166"/>
      <c r="AI423" s="166"/>
      <c r="AJ423" s="166"/>
      <c r="AK423" s="166"/>
      <c r="AL423" s="166"/>
      <c r="AM423" s="166"/>
      <c r="AN423" s="166"/>
      <c r="AO423" s="166"/>
    </row>
    <row r="424" spans="1:42">
      <c r="I424" s="38"/>
      <c r="J424" s="36"/>
      <c r="K424" s="37"/>
      <c r="L424" s="37"/>
      <c r="M424" s="148"/>
      <c r="N424" s="37"/>
      <c r="O424" s="204"/>
      <c r="P424" s="204"/>
      <c r="Q424" s="149"/>
      <c r="R424" s="149"/>
      <c r="S424" s="149"/>
      <c r="T424" s="149"/>
      <c r="U424" s="149"/>
      <c r="V424" s="37"/>
      <c r="W424" s="37"/>
      <c r="X424" s="149"/>
      <c r="Y424" s="149"/>
      <c r="Z424" s="37"/>
      <c r="AA424" s="37"/>
      <c r="AB424" s="62"/>
      <c r="AC424" s="62"/>
      <c r="AD424" s="166"/>
      <c r="AE424" s="166"/>
      <c r="AF424" s="166"/>
      <c r="AG424" s="166"/>
      <c r="AH424" s="166"/>
      <c r="AI424" s="166"/>
      <c r="AJ424" s="166"/>
      <c r="AK424" s="166"/>
      <c r="AL424" s="166"/>
      <c r="AM424" s="166"/>
      <c r="AN424" s="166"/>
      <c r="AO424" s="166"/>
    </row>
    <row r="425" spans="1:42">
      <c r="G425" s="30"/>
      <c r="J425" s="27"/>
      <c r="Z425" s="62"/>
      <c r="AA425" s="62"/>
      <c r="AB425" s="62"/>
      <c r="AC425" s="62"/>
      <c r="AD425" s="166"/>
      <c r="AE425" s="166"/>
      <c r="AF425" s="166"/>
      <c r="AG425" s="166"/>
      <c r="AH425" s="166"/>
      <c r="AI425" s="166"/>
      <c r="AJ425" s="166"/>
      <c r="AK425" s="166"/>
      <c r="AL425" s="166"/>
      <c r="AM425" s="166"/>
      <c r="AN425" s="166"/>
      <c r="AO425" s="166"/>
    </row>
    <row r="426" spans="1:42">
      <c r="G426" s="111"/>
      <c r="J426" s="48"/>
      <c r="L426" s="107"/>
      <c r="M426" s="157"/>
      <c r="N426" s="144"/>
      <c r="O426" s="107"/>
      <c r="P426" s="107"/>
      <c r="Q426" s="107"/>
      <c r="R426" s="107"/>
      <c r="S426" s="107"/>
      <c r="T426" s="107"/>
      <c r="U426" s="107"/>
      <c r="V426" s="107"/>
      <c r="W426" s="107"/>
      <c r="Z426" s="62"/>
      <c r="AA426" s="62"/>
      <c r="AB426" s="62"/>
      <c r="AC426" s="62"/>
      <c r="AD426" s="166"/>
      <c r="AE426" s="166"/>
      <c r="AF426" s="166"/>
      <c r="AG426" s="166"/>
      <c r="AH426" s="166"/>
      <c r="AI426" s="166"/>
      <c r="AJ426" s="166"/>
      <c r="AK426" s="166"/>
      <c r="AL426" s="166"/>
      <c r="AM426" s="166"/>
      <c r="AN426" s="166"/>
      <c r="AO426" s="166"/>
    </row>
    <row r="427" spans="1:42">
      <c r="J427" s="17"/>
      <c r="Z427" s="62"/>
      <c r="AA427" s="62"/>
      <c r="AB427" s="62"/>
      <c r="AC427" s="62"/>
      <c r="AD427" s="166"/>
      <c r="AE427" s="166"/>
      <c r="AF427" s="166"/>
      <c r="AG427" s="166"/>
      <c r="AH427" s="166"/>
      <c r="AI427" s="166"/>
      <c r="AJ427" s="166"/>
      <c r="AK427" s="166"/>
      <c r="AL427" s="166"/>
      <c r="AM427" s="166"/>
      <c r="AN427" s="166"/>
      <c r="AO427" s="166"/>
    </row>
    <row r="428" spans="1:42">
      <c r="H428" s="232"/>
      <c r="J428" s="17"/>
      <c r="L428" s="201"/>
      <c r="M428" s="233"/>
      <c r="N428" s="164"/>
      <c r="O428" s="201"/>
      <c r="P428" s="201"/>
      <c r="Q428" s="201"/>
      <c r="R428" s="201"/>
      <c r="S428" s="201"/>
      <c r="T428" s="201"/>
      <c r="U428" s="201"/>
      <c r="V428" s="201"/>
      <c r="W428" s="201"/>
      <c r="Z428" s="62"/>
      <c r="AA428" s="62"/>
      <c r="AB428" s="62"/>
      <c r="AC428" s="62"/>
      <c r="AD428" s="166"/>
      <c r="AE428" s="166"/>
      <c r="AF428" s="166"/>
      <c r="AG428" s="166"/>
      <c r="AH428" s="166"/>
      <c r="AI428" s="166"/>
      <c r="AJ428" s="166"/>
      <c r="AK428" s="166"/>
      <c r="AL428" s="166"/>
      <c r="AM428" s="166"/>
      <c r="AN428" s="166"/>
      <c r="AO428" s="166"/>
    </row>
    <row r="429" spans="1:42">
      <c r="H429" s="232"/>
      <c r="L429" s="32"/>
      <c r="M429" s="137"/>
      <c r="N429" s="62"/>
      <c r="O429" s="32"/>
      <c r="P429" s="32"/>
      <c r="Q429" s="32"/>
      <c r="R429" s="32"/>
      <c r="S429" s="32"/>
      <c r="T429" s="32"/>
      <c r="U429" s="32"/>
      <c r="V429" s="32"/>
      <c r="W429" s="32"/>
      <c r="Z429" s="62"/>
      <c r="AA429" s="62"/>
      <c r="AB429" s="62"/>
      <c r="AC429" s="62"/>
      <c r="AD429" s="166"/>
      <c r="AE429" s="166"/>
      <c r="AF429" s="166"/>
      <c r="AG429" s="166"/>
      <c r="AH429" s="166"/>
      <c r="AI429" s="166"/>
      <c r="AJ429" s="166"/>
      <c r="AK429" s="166"/>
      <c r="AL429" s="166"/>
      <c r="AM429" s="166"/>
      <c r="AN429" s="166"/>
      <c r="AO429" s="166"/>
    </row>
    <row r="430" spans="1:42">
      <c r="H430" s="232"/>
      <c r="L430" s="32"/>
      <c r="M430" s="137"/>
      <c r="N430" s="62"/>
      <c r="O430" s="32"/>
      <c r="P430" s="32"/>
      <c r="Q430" s="32"/>
      <c r="R430" s="32"/>
      <c r="S430" s="32"/>
      <c r="T430" s="32"/>
      <c r="U430" s="32"/>
      <c r="V430" s="32"/>
      <c r="W430" s="32"/>
      <c r="Z430" s="62"/>
      <c r="AA430" s="62"/>
      <c r="AB430" s="62"/>
      <c r="AC430" s="62"/>
      <c r="AD430" s="166"/>
      <c r="AE430" s="166"/>
      <c r="AF430" s="166"/>
      <c r="AG430" s="166"/>
      <c r="AH430" s="166"/>
      <c r="AI430" s="166"/>
      <c r="AJ430" s="166"/>
      <c r="AK430" s="166"/>
      <c r="AL430" s="166"/>
      <c r="AM430" s="166"/>
      <c r="AN430" s="166"/>
      <c r="AO430" s="166"/>
    </row>
    <row r="431" spans="1:42">
      <c r="H431" s="232"/>
      <c r="L431" s="32"/>
      <c r="M431" s="137"/>
      <c r="N431" s="62"/>
      <c r="O431" s="32"/>
      <c r="P431" s="32"/>
      <c r="Q431" s="32"/>
      <c r="R431" s="32"/>
      <c r="S431" s="32"/>
      <c r="T431" s="32"/>
      <c r="U431" s="32"/>
      <c r="V431" s="32"/>
      <c r="W431" s="32"/>
      <c r="Z431" s="62"/>
      <c r="AA431" s="62"/>
      <c r="AB431" s="62"/>
      <c r="AC431" s="62"/>
      <c r="AD431" s="166"/>
      <c r="AE431" s="166"/>
      <c r="AF431" s="166"/>
      <c r="AG431" s="166"/>
      <c r="AH431" s="166"/>
      <c r="AI431" s="166"/>
      <c r="AJ431" s="166"/>
      <c r="AK431" s="166"/>
      <c r="AL431" s="166"/>
      <c r="AM431" s="166"/>
      <c r="AN431" s="166"/>
      <c r="AO431" s="166"/>
    </row>
    <row r="432" spans="1:42">
      <c r="H432" s="232"/>
      <c r="L432" s="32"/>
      <c r="M432" s="137"/>
      <c r="N432" s="62"/>
      <c r="O432" s="32"/>
      <c r="P432" s="32"/>
      <c r="Q432" s="32"/>
      <c r="R432" s="32"/>
      <c r="S432" s="32"/>
      <c r="T432" s="32"/>
      <c r="U432" s="32"/>
      <c r="V432" s="32"/>
      <c r="W432" s="32"/>
      <c r="Z432" s="62"/>
      <c r="AA432" s="62"/>
      <c r="AB432" s="62"/>
      <c r="AC432" s="62"/>
      <c r="AD432" s="166"/>
      <c r="AE432" s="166"/>
      <c r="AF432" s="166"/>
      <c r="AG432" s="166"/>
      <c r="AH432" s="166"/>
      <c r="AI432" s="166"/>
      <c r="AJ432" s="166"/>
      <c r="AK432" s="166"/>
      <c r="AL432" s="166"/>
      <c r="AM432" s="166"/>
      <c r="AN432" s="166"/>
      <c r="AO432" s="166"/>
    </row>
    <row r="433" spans="7:41">
      <c r="H433" s="232"/>
      <c r="L433" s="32"/>
      <c r="M433" s="137"/>
      <c r="N433" s="62"/>
      <c r="O433" s="32"/>
      <c r="P433" s="32"/>
      <c r="Q433" s="32"/>
      <c r="R433" s="32"/>
      <c r="S433" s="32"/>
      <c r="T433" s="32"/>
      <c r="U433" s="32"/>
      <c r="V433" s="32"/>
      <c r="W433" s="32"/>
      <c r="Z433" s="62"/>
      <c r="AA433" s="62"/>
      <c r="AB433" s="62"/>
      <c r="AC433" s="62"/>
      <c r="AD433" s="166"/>
      <c r="AE433" s="166"/>
      <c r="AF433" s="166"/>
      <c r="AG433" s="166"/>
      <c r="AH433" s="166"/>
      <c r="AI433" s="166"/>
      <c r="AJ433" s="166"/>
      <c r="AK433" s="166"/>
      <c r="AL433" s="166"/>
      <c r="AM433" s="166"/>
      <c r="AN433" s="166"/>
      <c r="AO433" s="166"/>
    </row>
    <row r="434" spans="7:41">
      <c r="H434" s="232"/>
      <c r="L434" s="32"/>
      <c r="M434" s="137"/>
      <c r="N434" s="62"/>
      <c r="O434" s="32"/>
      <c r="P434" s="32"/>
      <c r="Q434" s="32"/>
      <c r="R434" s="32"/>
      <c r="S434" s="32"/>
      <c r="T434" s="32"/>
      <c r="U434" s="32"/>
      <c r="V434" s="32"/>
      <c r="W434" s="32"/>
      <c r="Z434" s="62"/>
      <c r="AA434" s="62"/>
      <c r="AB434" s="62"/>
      <c r="AC434" s="62"/>
      <c r="AD434" s="166"/>
      <c r="AE434" s="166"/>
      <c r="AF434" s="166"/>
      <c r="AG434" s="166"/>
      <c r="AH434" s="166"/>
      <c r="AI434" s="166"/>
      <c r="AJ434" s="166"/>
      <c r="AK434" s="166"/>
      <c r="AL434" s="166"/>
      <c r="AM434" s="166"/>
      <c r="AN434" s="166"/>
      <c r="AO434" s="166"/>
    </row>
    <row r="435" spans="7:41">
      <c r="H435" s="232"/>
      <c r="L435" s="32"/>
      <c r="M435" s="137"/>
      <c r="N435" s="62"/>
      <c r="O435" s="32"/>
      <c r="P435" s="32"/>
      <c r="Q435" s="32"/>
      <c r="R435" s="32"/>
      <c r="S435" s="32"/>
      <c r="T435" s="32"/>
      <c r="U435" s="32"/>
      <c r="V435" s="32"/>
      <c r="W435" s="32"/>
      <c r="Z435" s="62"/>
      <c r="AA435" s="62"/>
      <c r="AB435" s="62"/>
      <c r="AC435" s="62"/>
      <c r="AD435" s="166"/>
      <c r="AE435" s="166"/>
      <c r="AF435" s="166"/>
      <c r="AG435" s="166"/>
      <c r="AH435" s="166"/>
      <c r="AI435" s="166"/>
      <c r="AJ435" s="166"/>
      <c r="AK435" s="166"/>
      <c r="AL435" s="166"/>
      <c r="AM435" s="166"/>
      <c r="AN435" s="166"/>
      <c r="AO435" s="166"/>
    </row>
    <row r="436" spans="7:41">
      <c r="J436" s="17"/>
      <c r="L436" s="201"/>
      <c r="M436" s="233"/>
      <c r="N436" s="164"/>
      <c r="O436" s="201"/>
      <c r="P436" s="201"/>
      <c r="Q436" s="201"/>
      <c r="R436" s="201"/>
      <c r="S436" s="201"/>
      <c r="T436" s="201"/>
      <c r="U436" s="201"/>
      <c r="V436" s="201"/>
      <c r="W436" s="201"/>
      <c r="X436" s="201"/>
      <c r="Z436" s="62"/>
      <c r="AA436" s="62"/>
      <c r="AB436" s="62"/>
      <c r="AC436" s="62"/>
      <c r="AD436" s="166"/>
      <c r="AE436" s="166"/>
      <c r="AF436" s="166"/>
      <c r="AG436" s="166"/>
      <c r="AH436" s="166"/>
      <c r="AI436" s="166"/>
      <c r="AJ436" s="166"/>
      <c r="AK436" s="166"/>
      <c r="AL436" s="166"/>
      <c r="AM436" s="166"/>
      <c r="AN436" s="166"/>
      <c r="AO436" s="166"/>
    </row>
    <row r="437" spans="7:41">
      <c r="L437" s="32"/>
      <c r="M437" s="137"/>
      <c r="N437" s="62"/>
      <c r="O437" s="32"/>
      <c r="P437" s="32"/>
      <c r="Q437" s="32"/>
      <c r="R437" s="32"/>
      <c r="S437" s="32"/>
      <c r="T437" s="32"/>
      <c r="U437" s="32"/>
      <c r="V437" s="32"/>
      <c r="W437" s="32"/>
      <c r="Z437" s="62"/>
      <c r="AA437" s="62"/>
      <c r="AB437" s="62"/>
      <c r="AC437" s="62"/>
      <c r="AD437" s="166"/>
      <c r="AE437" s="166"/>
      <c r="AF437" s="166"/>
      <c r="AG437" s="166"/>
      <c r="AH437" s="166"/>
      <c r="AI437" s="166"/>
      <c r="AJ437" s="166"/>
      <c r="AK437" s="166"/>
      <c r="AL437" s="166"/>
      <c r="AM437" s="166"/>
      <c r="AN437" s="166"/>
      <c r="AO437" s="166"/>
    </row>
    <row r="438" spans="7:41">
      <c r="J438" s="17"/>
      <c r="L438" s="201"/>
      <c r="M438" s="233"/>
      <c r="N438" s="164"/>
      <c r="O438" s="201"/>
      <c r="P438" s="201"/>
      <c r="Q438" s="201"/>
      <c r="R438" s="201"/>
      <c r="S438" s="201"/>
      <c r="T438" s="201"/>
      <c r="U438" s="201"/>
      <c r="V438" s="201"/>
      <c r="W438" s="201"/>
      <c r="Z438" s="62"/>
      <c r="AA438" s="62"/>
      <c r="AB438" s="62"/>
      <c r="AC438" s="62"/>
      <c r="AD438" s="166"/>
      <c r="AE438" s="166"/>
      <c r="AF438" s="166"/>
      <c r="AG438" s="166"/>
      <c r="AH438" s="166"/>
      <c r="AI438" s="166"/>
      <c r="AJ438" s="166"/>
      <c r="AK438" s="166"/>
      <c r="AL438" s="166"/>
      <c r="AM438" s="166"/>
      <c r="AN438" s="166"/>
      <c r="AO438" s="166"/>
    </row>
    <row r="439" spans="7:41">
      <c r="L439" s="32"/>
      <c r="M439" s="137"/>
      <c r="N439" s="62"/>
      <c r="O439" s="32"/>
      <c r="P439" s="32"/>
      <c r="Q439" s="32"/>
      <c r="R439" s="32"/>
      <c r="S439" s="32"/>
      <c r="T439" s="32"/>
      <c r="U439" s="32"/>
      <c r="V439" s="32"/>
      <c r="W439" s="32"/>
      <c r="Z439" s="62"/>
      <c r="AA439" s="62"/>
      <c r="AB439" s="62"/>
      <c r="AC439" s="62"/>
      <c r="AD439" s="166"/>
      <c r="AE439" s="166"/>
      <c r="AF439" s="166"/>
      <c r="AG439" s="166"/>
      <c r="AH439" s="166"/>
      <c r="AI439" s="166"/>
      <c r="AJ439" s="166"/>
      <c r="AK439" s="166"/>
      <c r="AL439" s="166"/>
      <c r="AM439" s="166"/>
      <c r="AN439" s="166"/>
      <c r="AO439" s="166"/>
    </row>
    <row r="440" spans="7:41">
      <c r="L440" s="32"/>
      <c r="M440" s="137"/>
      <c r="N440" s="62"/>
      <c r="O440" s="32"/>
      <c r="P440" s="32"/>
      <c r="Q440" s="32"/>
      <c r="R440" s="32"/>
      <c r="S440" s="32"/>
      <c r="T440" s="32"/>
      <c r="U440" s="32"/>
      <c r="V440" s="32"/>
      <c r="W440" s="32"/>
      <c r="Z440" s="62"/>
      <c r="AA440" s="62"/>
      <c r="AB440" s="62"/>
      <c r="AC440" s="62"/>
      <c r="AD440" s="166"/>
      <c r="AE440" s="166"/>
      <c r="AF440" s="166"/>
      <c r="AG440" s="166"/>
      <c r="AH440" s="166"/>
      <c r="AI440" s="166"/>
      <c r="AJ440" s="166"/>
      <c r="AK440" s="166"/>
      <c r="AL440" s="166"/>
      <c r="AM440" s="166"/>
      <c r="AN440" s="166"/>
      <c r="AO440" s="166"/>
    </row>
    <row r="441" spans="7:41">
      <c r="L441" s="32"/>
      <c r="M441" s="137"/>
      <c r="N441" s="62"/>
      <c r="O441" s="32"/>
      <c r="P441" s="32"/>
      <c r="Q441" s="32"/>
      <c r="R441" s="32"/>
      <c r="S441" s="32"/>
      <c r="T441" s="32"/>
      <c r="U441" s="32"/>
      <c r="V441" s="32"/>
      <c r="W441" s="32"/>
      <c r="Z441" s="62"/>
      <c r="AA441" s="62"/>
      <c r="AB441" s="62"/>
      <c r="AC441" s="62"/>
      <c r="AD441" s="166"/>
      <c r="AE441" s="166"/>
      <c r="AF441" s="166"/>
      <c r="AG441" s="166"/>
      <c r="AH441" s="166"/>
      <c r="AI441" s="166"/>
      <c r="AJ441" s="166"/>
      <c r="AK441" s="166"/>
      <c r="AL441" s="166"/>
      <c r="AM441" s="166"/>
      <c r="AN441" s="166"/>
      <c r="AO441" s="166"/>
    </row>
    <row r="442" spans="7:41">
      <c r="L442" s="32"/>
      <c r="M442" s="137"/>
      <c r="N442" s="62"/>
      <c r="O442" s="32"/>
      <c r="P442" s="32"/>
      <c r="Q442" s="32"/>
      <c r="R442" s="32"/>
      <c r="S442" s="32"/>
      <c r="T442" s="32"/>
      <c r="U442" s="32"/>
      <c r="V442" s="32"/>
      <c r="W442" s="32"/>
      <c r="Z442" s="62"/>
      <c r="AA442" s="62"/>
      <c r="AB442" s="62"/>
      <c r="AC442" s="62"/>
      <c r="AD442" s="166"/>
      <c r="AE442" s="166"/>
      <c r="AF442" s="166"/>
      <c r="AG442" s="166"/>
      <c r="AH442" s="166"/>
      <c r="AI442" s="166"/>
      <c r="AJ442" s="166"/>
      <c r="AK442" s="166"/>
      <c r="AL442" s="166"/>
      <c r="AM442" s="166"/>
      <c r="AN442" s="166"/>
      <c r="AO442" s="166"/>
    </row>
    <row r="443" spans="7:41">
      <c r="G443" s="32"/>
      <c r="H443" s="230"/>
      <c r="J443" s="21"/>
      <c r="K443" s="46"/>
      <c r="L443" s="185"/>
      <c r="M443" s="186"/>
      <c r="N443" s="179"/>
      <c r="O443" s="185"/>
      <c r="P443" s="185"/>
      <c r="Q443" s="185"/>
      <c r="R443" s="185"/>
      <c r="S443" s="185"/>
      <c r="T443" s="185"/>
      <c r="U443" s="185"/>
      <c r="V443" s="185"/>
      <c r="W443" s="185"/>
      <c r="Z443" s="62"/>
      <c r="AA443" s="62"/>
      <c r="AB443" s="62"/>
      <c r="AC443" s="62"/>
      <c r="AD443" s="166"/>
      <c r="AE443" s="166"/>
      <c r="AF443" s="166"/>
      <c r="AG443" s="166"/>
      <c r="AH443" s="166"/>
      <c r="AI443" s="166"/>
      <c r="AJ443" s="166"/>
      <c r="AK443" s="166"/>
      <c r="AL443" s="166"/>
      <c r="AM443" s="166"/>
      <c r="AN443" s="166"/>
      <c r="AO443" s="166"/>
    </row>
    <row r="444" spans="7:41">
      <c r="G444" s="46"/>
      <c r="H444" s="230"/>
      <c r="J444" s="21"/>
      <c r="K444" s="46"/>
      <c r="L444" s="185"/>
      <c r="M444" s="186"/>
      <c r="N444" s="179"/>
      <c r="O444" s="185"/>
      <c r="P444" s="185"/>
      <c r="Q444" s="185"/>
      <c r="R444" s="185"/>
      <c r="S444" s="185"/>
      <c r="T444" s="185"/>
      <c r="U444" s="185"/>
      <c r="V444" s="185"/>
      <c r="W444" s="185"/>
      <c r="Z444" s="62"/>
      <c r="AA444" s="62"/>
      <c r="AB444" s="62"/>
      <c r="AC444" s="62"/>
      <c r="AD444" s="166"/>
      <c r="AE444" s="166"/>
      <c r="AF444" s="166"/>
      <c r="AG444" s="166"/>
      <c r="AH444" s="166"/>
      <c r="AI444" s="166"/>
      <c r="AJ444" s="166"/>
      <c r="AK444" s="166"/>
      <c r="AL444" s="166"/>
      <c r="AM444" s="166"/>
      <c r="AN444" s="166"/>
      <c r="AO444" s="166"/>
    </row>
    <row r="445" spans="7:41">
      <c r="G445" s="17"/>
      <c r="H445" s="231"/>
      <c r="J445" s="17"/>
      <c r="L445" s="201"/>
      <c r="M445" s="233"/>
      <c r="N445" s="179"/>
      <c r="O445" s="201"/>
      <c r="P445" s="201"/>
      <c r="Q445" s="201"/>
      <c r="R445" s="201"/>
      <c r="S445" s="201"/>
      <c r="T445" s="201"/>
      <c r="U445" s="201"/>
      <c r="V445" s="201"/>
      <c r="W445" s="201"/>
      <c r="Z445" s="62"/>
      <c r="AA445" s="62"/>
      <c r="AB445" s="62"/>
      <c r="AC445" s="62"/>
      <c r="AD445" s="166"/>
      <c r="AE445" s="166"/>
      <c r="AF445" s="166"/>
      <c r="AG445" s="166"/>
      <c r="AH445" s="166"/>
      <c r="AI445" s="166"/>
      <c r="AJ445" s="166"/>
      <c r="AK445" s="166"/>
      <c r="AL445" s="166"/>
      <c r="AM445" s="166"/>
      <c r="AN445" s="166"/>
      <c r="AO445" s="166"/>
    </row>
    <row r="446" spans="7:41">
      <c r="L446" s="32"/>
      <c r="M446" s="137"/>
      <c r="N446" s="62"/>
      <c r="O446" s="32"/>
      <c r="P446" s="32"/>
      <c r="Q446" s="32"/>
      <c r="R446" s="32"/>
      <c r="S446" s="32"/>
      <c r="T446" s="32"/>
      <c r="U446" s="32"/>
      <c r="V446" s="32"/>
      <c r="W446" s="32"/>
      <c r="Z446" s="62"/>
      <c r="AA446" s="62"/>
      <c r="AB446" s="62"/>
      <c r="AC446" s="62"/>
      <c r="AD446" s="166"/>
      <c r="AE446" s="166"/>
      <c r="AF446" s="166"/>
      <c r="AG446" s="166"/>
      <c r="AH446" s="166"/>
      <c r="AI446" s="166"/>
      <c r="AJ446" s="166"/>
      <c r="AK446" s="166"/>
      <c r="AL446" s="166"/>
      <c r="AM446" s="166"/>
      <c r="AN446" s="166"/>
      <c r="AO446" s="166"/>
    </row>
    <row r="447" spans="7:41">
      <c r="J447" s="17"/>
      <c r="L447" s="32"/>
      <c r="M447" s="137"/>
      <c r="N447" s="62"/>
      <c r="O447" s="32"/>
      <c r="P447" s="32"/>
      <c r="Q447" s="32"/>
      <c r="R447" s="32"/>
      <c r="S447" s="32"/>
      <c r="T447" s="32"/>
      <c r="U447" s="32"/>
      <c r="V447" s="32"/>
      <c r="W447" s="32"/>
      <c r="Z447" s="62"/>
      <c r="AA447" s="62"/>
      <c r="AB447" s="62"/>
      <c r="AC447" s="62"/>
      <c r="AD447" s="166"/>
      <c r="AE447" s="166"/>
      <c r="AF447" s="166"/>
      <c r="AG447" s="166"/>
      <c r="AH447" s="166"/>
      <c r="AI447" s="166"/>
      <c r="AJ447" s="166"/>
      <c r="AK447" s="166"/>
      <c r="AL447" s="166"/>
      <c r="AM447" s="166"/>
      <c r="AN447" s="166"/>
      <c r="AO447" s="166"/>
    </row>
    <row r="448" spans="7:41">
      <c r="L448" s="32"/>
      <c r="M448" s="137"/>
      <c r="N448" s="62"/>
      <c r="O448" s="32"/>
      <c r="P448" s="32"/>
      <c r="Q448" s="32"/>
      <c r="R448" s="32"/>
      <c r="S448" s="32"/>
      <c r="T448" s="32"/>
      <c r="U448" s="32"/>
      <c r="V448" s="32"/>
      <c r="W448" s="32"/>
      <c r="Z448" s="62"/>
      <c r="AA448" s="62"/>
      <c r="AB448" s="62"/>
      <c r="AC448" s="62"/>
      <c r="AD448" s="166"/>
      <c r="AE448" s="166"/>
      <c r="AF448" s="166"/>
      <c r="AG448" s="166"/>
      <c r="AH448" s="166"/>
      <c r="AI448" s="166"/>
      <c r="AJ448" s="166"/>
      <c r="AK448" s="166"/>
      <c r="AL448" s="166"/>
      <c r="AM448" s="166"/>
      <c r="AN448" s="166"/>
      <c r="AO448" s="166"/>
    </row>
    <row r="449" spans="7:41">
      <c r="L449" s="32"/>
      <c r="M449" s="137"/>
      <c r="N449" s="62"/>
      <c r="O449" s="32"/>
      <c r="P449" s="32"/>
      <c r="Q449" s="32"/>
      <c r="R449" s="32"/>
      <c r="S449" s="32"/>
      <c r="T449" s="32"/>
      <c r="U449" s="32"/>
      <c r="V449" s="32"/>
      <c r="W449" s="32"/>
      <c r="Z449" s="62"/>
      <c r="AA449" s="62"/>
      <c r="AB449" s="62"/>
      <c r="AC449" s="62"/>
      <c r="AD449" s="166"/>
      <c r="AE449" s="166"/>
      <c r="AF449" s="166"/>
      <c r="AG449" s="166"/>
      <c r="AH449" s="166"/>
      <c r="AI449" s="166"/>
      <c r="AJ449" s="166"/>
      <c r="AK449" s="166"/>
      <c r="AL449" s="166"/>
      <c r="AM449" s="166"/>
      <c r="AN449" s="166"/>
      <c r="AO449" s="166"/>
    </row>
    <row r="450" spans="7:41">
      <c r="L450" s="32"/>
      <c r="M450" s="137"/>
      <c r="N450" s="62"/>
      <c r="O450" s="32"/>
      <c r="P450" s="32"/>
      <c r="Q450" s="32"/>
      <c r="R450" s="32"/>
      <c r="S450" s="32"/>
      <c r="T450" s="32"/>
      <c r="U450" s="32"/>
      <c r="V450" s="32"/>
      <c r="W450" s="32"/>
      <c r="Z450" s="62"/>
      <c r="AA450" s="62"/>
      <c r="AB450" s="62"/>
      <c r="AC450" s="62"/>
      <c r="AD450" s="166"/>
      <c r="AE450" s="166"/>
      <c r="AF450" s="166"/>
      <c r="AG450" s="166"/>
      <c r="AH450" s="166"/>
      <c r="AI450" s="166"/>
      <c r="AJ450" s="166"/>
      <c r="AK450" s="166"/>
      <c r="AL450" s="166"/>
      <c r="AM450" s="166"/>
      <c r="AN450" s="166"/>
      <c r="AO450" s="166"/>
    </row>
    <row r="451" spans="7:41">
      <c r="L451" s="32"/>
      <c r="M451" s="137"/>
      <c r="N451" s="62"/>
      <c r="O451" s="32"/>
      <c r="P451" s="32"/>
      <c r="Q451" s="32"/>
      <c r="R451" s="32"/>
      <c r="S451" s="32"/>
      <c r="T451" s="32"/>
      <c r="U451" s="32"/>
      <c r="V451" s="32"/>
      <c r="W451" s="32"/>
      <c r="Z451" s="62"/>
      <c r="AA451" s="62"/>
      <c r="AB451" s="62"/>
      <c r="AC451" s="62"/>
      <c r="AD451" s="166"/>
      <c r="AE451" s="166"/>
      <c r="AF451" s="166"/>
      <c r="AG451" s="166"/>
      <c r="AH451" s="166"/>
      <c r="AI451" s="166"/>
      <c r="AJ451" s="166"/>
      <c r="AK451" s="166"/>
      <c r="AL451" s="166"/>
      <c r="AM451" s="166"/>
      <c r="AN451" s="166"/>
      <c r="AO451" s="166"/>
    </row>
    <row r="452" spans="7:41">
      <c r="G452" s="17"/>
      <c r="H452" s="231"/>
      <c r="J452" s="17"/>
      <c r="L452" s="201"/>
      <c r="M452" s="233"/>
      <c r="N452" s="164"/>
      <c r="O452" s="201"/>
      <c r="P452" s="201"/>
      <c r="Q452" s="201"/>
      <c r="R452" s="201"/>
      <c r="S452" s="201"/>
      <c r="T452" s="201"/>
      <c r="U452" s="201"/>
      <c r="V452" s="201"/>
      <c r="W452" s="201"/>
      <c r="Z452" s="62"/>
      <c r="AA452" s="62"/>
      <c r="AB452" s="62"/>
      <c r="AC452" s="62"/>
      <c r="AD452" s="166"/>
      <c r="AE452" s="166"/>
      <c r="AF452" s="166"/>
      <c r="AG452" s="166"/>
      <c r="AH452" s="166"/>
      <c r="AI452" s="166"/>
      <c r="AJ452" s="166"/>
      <c r="AK452" s="166"/>
      <c r="AL452" s="166"/>
      <c r="AM452" s="166"/>
      <c r="AN452" s="166"/>
      <c r="AO452" s="166"/>
    </row>
    <row r="453" spans="7:41">
      <c r="L453" s="32"/>
      <c r="M453" s="137"/>
      <c r="N453" s="62"/>
      <c r="O453" s="32"/>
      <c r="P453" s="32"/>
      <c r="Q453" s="32"/>
      <c r="R453" s="32"/>
      <c r="S453" s="32"/>
      <c r="T453" s="32"/>
      <c r="U453" s="32"/>
      <c r="V453" s="32"/>
      <c r="W453" s="32"/>
      <c r="Z453" s="62"/>
      <c r="AA453" s="62"/>
      <c r="AB453" s="62"/>
      <c r="AC453" s="62"/>
      <c r="AD453" s="166"/>
      <c r="AE453" s="166"/>
      <c r="AF453" s="166"/>
      <c r="AG453" s="166"/>
      <c r="AH453" s="166"/>
      <c r="AI453" s="166"/>
      <c r="AJ453" s="166"/>
      <c r="AK453" s="166"/>
      <c r="AL453" s="166"/>
      <c r="AM453" s="166"/>
      <c r="AN453" s="166"/>
      <c r="AO453" s="166"/>
    </row>
    <row r="454" spans="7:41">
      <c r="G454" s="17"/>
      <c r="H454" s="231"/>
      <c r="J454" s="17"/>
      <c r="L454" s="201"/>
      <c r="M454" s="233"/>
      <c r="N454" s="164"/>
      <c r="O454" s="201"/>
      <c r="P454" s="201"/>
      <c r="Q454" s="201"/>
      <c r="R454" s="201"/>
      <c r="S454" s="201"/>
      <c r="T454" s="201"/>
      <c r="U454" s="201"/>
      <c r="V454" s="201"/>
      <c r="W454" s="201"/>
      <c r="Z454" s="62"/>
      <c r="AA454" s="62"/>
      <c r="AB454" s="62"/>
      <c r="AC454" s="62"/>
      <c r="AD454" s="166"/>
      <c r="AE454" s="166"/>
      <c r="AF454" s="166"/>
      <c r="AG454" s="166"/>
      <c r="AH454" s="166"/>
      <c r="AI454" s="166"/>
      <c r="AJ454" s="166"/>
      <c r="AK454" s="166"/>
      <c r="AL454" s="166"/>
      <c r="AM454" s="166"/>
      <c r="AN454" s="166"/>
      <c r="AO454" s="166"/>
    </row>
    <row r="455" spans="7:41">
      <c r="G455" s="51"/>
      <c r="K455" s="46"/>
      <c r="L455" s="32"/>
      <c r="M455" s="137"/>
      <c r="N455" s="62"/>
      <c r="O455" s="32"/>
      <c r="P455" s="32"/>
      <c r="Q455" s="32"/>
      <c r="R455" s="32"/>
      <c r="S455" s="32"/>
      <c r="T455" s="32"/>
      <c r="U455" s="32"/>
      <c r="V455" s="32"/>
      <c r="W455" s="32"/>
      <c r="Z455" s="62"/>
      <c r="AA455" s="62"/>
      <c r="AB455" s="62"/>
      <c r="AC455" s="62"/>
      <c r="AD455" s="166"/>
      <c r="AE455" s="166"/>
      <c r="AF455" s="166"/>
      <c r="AG455" s="166"/>
      <c r="AH455" s="166"/>
      <c r="AI455" s="166"/>
      <c r="AJ455" s="166"/>
      <c r="AK455" s="166"/>
      <c r="AL455" s="166"/>
      <c r="AM455" s="166"/>
      <c r="AN455" s="166"/>
      <c r="AO455" s="166"/>
    </row>
    <row r="456" spans="7:41">
      <c r="Z456" s="62"/>
      <c r="AA456" s="62"/>
      <c r="AB456" s="62"/>
      <c r="AC456" s="62"/>
      <c r="AD456" s="166"/>
      <c r="AE456" s="166"/>
      <c r="AF456" s="166"/>
      <c r="AG456" s="166"/>
      <c r="AH456" s="166"/>
      <c r="AI456" s="166"/>
      <c r="AJ456" s="166"/>
      <c r="AK456" s="166"/>
      <c r="AL456" s="166"/>
      <c r="AM456" s="166"/>
      <c r="AN456" s="166"/>
      <c r="AO456" s="166"/>
    </row>
    <row r="457" spans="7:41">
      <c r="AD457" s="166"/>
      <c r="AE457" s="166"/>
      <c r="AF457" s="166"/>
      <c r="AG457" s="166"/>
      <c r="AH457" s="166"/>
      <c r="AI457" s="166"/>
      <c r="AJ457" s="166"/>
      <c r="AK457" s="166"/>
      <c r="AL457" s="166"/>
      <c r="AM457" s="166"/>
      <c r="AN457" s="166"/>
      <c r="AO457" s="166"/>
    </row>
    <row r="458" spans="7:41">
      <c r="AD458" s="166"/>
      <c r="AE458" s="166"/>
      <c r="AF458" s="166"/>
      <c r="AG458" s="166"/>
      <c r="AH458" s="166"/>
      <c r="AI458" s="166"/>
      <c r="AJ458" s="166"/>
      <c r="AK458" s="166"/>
      <c r="AL458" s="166"/>
      <c r="AM458" s="166"/>
      <c r="AN458" s="166"/>
      <c r="AO458" s="166"/>
    </row>
    <row r="459" spans="7:41">
      <c r="L459" s="107"/>
      <c r="M459" s="157"/>
      <c r="U459" s="107"/>
      <c r="V459" s="107"/>
      <c r="W459" s="107"/>
      <c r="AD459" s="166"/>
      <c r="AE459" s="166"/>
      <c r="AF459" s="166"/>
      <c r="AG459" s="166"/>
      <c r="AH459" s="166"/>
      <c r="AI459" s="166"/>
      <c r="AJ459" s="166"/>
      <c r="AK459" s="166"/>
      <c r="AL459" s="166"/>
      <c r="AM459" s="166"/>
      <c r="AN459" s="166"/>
      <c r="AO459" s="166"/>
    </row>
    <row r="460" spans="7:41">
      <c r="AD460" s="166"/>
      <c r="AE460" s="166"/>
      <c r="AF460" s="166"/>
      <c r="AG460" s="166"/>
      <c r="AH460" s="166"/>
      <c r="AI460" s="166"/>
      <c r="AJ460" s="166"/>
      <c r="AK460" s="166"/>
      <c r="AL460" s="166"/>
      <c r="AM460" s="166"/>
      <c r="AN460" s="166"/>
      <c r="AO460" s="166"/>
    </row>
    <row r="461" spans="7:41">
      <c r="AD461" s="166"/>
      <c r="AE461" s="166"/>
      <c r="AF461" s="166"/>
      <c r="AG461" s="166"/>
      <c r="AH461" s="166"/>
      <c r="AI461" s="166"/>
      <c r="AJ461" s="166"/>
      <c r="AK461" s="166"/>
      <c r="AL461" s="166"/>
      <c r="AM461" s="166"/>
      <c r="AN461" s="166"/>
      <c r="AO461" s="166"/>
    </row>
  </sheetData>
  <mergeCells count="7">
    <mergeCell ref="AF146:AN146"/>
    <mergeCell ref="AF162:AN162"/>
    <mergeCell ref="AD50:AO50"/>
    <mergeCell ref="AF70:AN70"/>
    <mergeCell ref="AF86:AN86"/>
    <mergeCell ref="AF108:AN108"/>
    <mergeCell ref="AF124:AN124"/>
  </mergeCells>
  <conditionalFormatting sqref="J14 L1:AU13">
    <cfRule type="cellIs" dxfId="20" priority="71" stopIfTrue="1" operator="greaterThan">
      <formula>0.0001</formula>
    </cfRule>
    <cfRule type="cellIs" dxfId="19" priority="72" stopIfTrue="1" operator="lessThan">
      <formula>-0.0001</formula>
    </cfRule>
  </conditionalFormatting>
  <conditionalFormatting sqref="AF421:AF423">
    <cfRule type="cellIs" dxfId="18" priority="66" stopIfTrue="1" operator="notEqual">
      <formula>0</formula>
    </cfRule>
  </conditionalFormatting>
  <conditionalFormatting sqref="O54">
    <cfRule type="cellIs" dxfId="17" priority="54" operator="notEqual">
      <formula>0</formula>
    </cfRule>
  </conditionalFormatting>
  <conditionalFormatting sqref="Q54:V54">
    <cfRule type="cellIs" dxfId="16" priority="37" operator="notEqual">
      <formula>0</formula>
    </cfRule>
  </conditionalFormatting>
  <conditionalFormatting sqref="Q91:V91">
    <cfRule type="cellIs" dxfId="15" priority="19" operator="notEqual">
      <formula>0</formula>
    </cfRule>
  </conditionalFormatting>
  <conditionalFormatting sqref="O91">
    <cfRule type="cellIs" dxfId="14" priority="20" operator="notEqual">
      <formula>0</formula>
    </cfRule>
  </conditionalFormatting>
  <conditionalFormatting sqref="Q128:V128">
    <cfRule type="cellIs" dxfId="13" priority="16" operator="notEqual">
      <formula>0</formula>
    </cfRule>
  </conditionalFormatting>
  <conditionalFormatting sqref="O128">
    <cfRule type="cellIs" dxfId="12" priority="17" operator="notEqual">
      <formula>0</formula>
    </cfRule>
  </conditionalFormatting>
  <conditionalFormatting sqref="Q165:V165">
    <cfRule type="cellIs" dxfId="11" priority="14" operator="notEqual">
      <formula>0</formula>
    </cfRule>
  </conditionalFormatting>
  <conditionalFormatting sqref="O165">
    <cfRule type="cellIs" dxfId="10" priority="15" operator="notEqual">
      <formula>0</formula>
    </cfRule>
  </conditionalFormatting>
  <conditionalFormatting sqref="Q239:V239">
    <cfRule type="cellIs" dxfId="9" priority="8" operator="notEqual">
      <formula>0</formula>
    </cfRule>
  </conditionalFormatting>
  <conditionalFormatting sqref="O239">
    <cfRule type="cellIs" dxfId="8" priority="9" operator="notEqual">
      <formula>0</formula>
    </cfRule>
  </conditionalFormatting>
  <conditionalFormatting sqref="Q202:V202">
    <cfRule type="cellIs" dxfId="7" priority="10" operator="notEqual">
      <formula>0</formula>
    </cfRule>
  </conditionalFormatting>
  <conditionalFormatting sqref="O202">
    <cfRule type="cellIs" dxfId="6" priority="11" operator="notEqual">
      <formula>0</formula>
    </cfRule>
  </conditionalFormatting>
  <conditionalFormatting sqref="Q276:V276">
    <cfRule type="cellIs" dxfId="5" priority="6" operator="notEqual">
      <formula>0</formula>
    </cfRule>
  </conditionalFormatting>
  <conditionalFormatting sqref="O276">
    <cfRule type="cellIs" dxfId="4" priority="7" operator="notEqual">
      <formula>0</formula>
    </cfRule>
  </conditionalFormatting>
  <conditionalFormatting sqref="Q313:V313">
    <cfRule type="cellIs" dxfId="3" priority="4" operator="notEqual">
      <formula>0</formula>
    </cfRule>
  </conditionalFormatting>
  <conditionalFormatting sqref="O313">
    <cfRule type="cellIs" dxfId="2" priority="5" operator="notEqual">
      <formula>0</formula>
    </cfRule>
  </conditionalFormatting>
  <conditionalFormatting sqref="Q350:V350 Q387:V387">
    <cfRule type="cellIs" dxfId="1" priority="1" operator="notEqual">
      <formula>0</formula>
    </cfRule>
  </conditionalFormatting>
  <conditionalFormatting sqref="O350 O387">
    <cfRule type="cellIs" dxfId="0" priority="2" operator="notEqual">
      <formula>0</formula>
    </cfRule>
  </conditionalFormatting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PODATKI grafi</vt:lpstr>
    </vt:vector>
  </TitlesOfParts>
  <Company>Kmetijski inštitut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Zagorc</dc:creator>
  <cp:lastModifiedBy>Jure Brečko</cp:lastModifiedBy>
  <cp:lastPrinted>2026-09-17T16:21:38Z</cp:lastPrinted>
  <dcterms:created xsi:type="dcterms:W3CDTF">2018-01-19T13:43:57Z</dcterms:created>
  <dcterms:modified xsi:type="dcterms:W3CDTF">2026-10-27T07:10:00Z</dcterms:modified>
</cp:coreProperties>
</file>